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updateLinks="always" defaultThemeVersion="124226"/>
  <bookViews>
    <workbookView xWindow="19185" yWindow="-15" windowWidth="9660" windowHeight="12675" tabRatio="834" firstSheet="1" activeTab="4"/>
  </bookViews>
  <sheets>
    <sheet name="단가대비표" sheetId="27" state="hidden" r:id="rId1"/>
    <sheet name="산출" sheetId="38" r:id="rId2"/>
    <sheet name="시간단노임" sheetId="43" state="hidden" r:id="rId3"/>
    <sheet name="기계경비" sheetId="42" state="hidden" r:id="rId4"/>
    <sheet name="내역서" sheetId="29" r:id="rId5"/>
    <sheet name="원가계산서" sheetId="30" r:id="rId6"/>
    <sheet name="갑지" sheetId="31" state="hidden" r:id="rId7"/>
    <sheet name="표지" sheetId="32" r:id="rId8"/>
    <sheet name="변경내역서" sheetId="39" state="hidden" r:id="rId9"/>
    <sheet name="변경원가계산" sheetId="33" state="hidden" r:id="rId10"/>
    <sheet name="변경갑지" sheetId="41" state="hidden" r:id="rId11"/>
    <sheet name="변경표지" sheetId="40" state="hidden" r:id="rId12"/>
  </sheets>
  <definedNames>
    <definedName name="_xlnm._FilterDatabase" localSheetId="4" hidden="1">내역서!$A$1:$N$52</definedName>
    <definedName name="_xlnm._FilterDatabase" localSheetId="8" hidden="1">변경내역서!$AF$3:$AR$60</definedName>
    <definedName name="_xlnm.Print_Area" localSheetId="6">갑지!$A$1:$N$21</definedName>
    <definedName name="_xlnm.Print_Area" localSheetId="3">기계경비!$A$1:$L$19</definedName>
    <definedName name="_xlnm.Print_Area" localSheetId="4">내역서!$B$1:$N$20</definedName>
    <definedName name="_xlnm.Print_Area" localSheetId="0">단가대비표!$A$1:$N$20</definedName>
    <definedName name="_xlnm.Print_Area" localSheetId="10">변경갑지!$A$1:$N$28</definedName>
    <definedName name="_xlnm.Print_Area" localSheetId="8">변경내역서!$A$1:$AS$90</definedName>
    <definedName name="_xlnm.Print_Area" localSheetId="11">변경표지!$A$1:$N$20</definedName>
    <definedName name="_xlnm.Print_Area" localSheetId="1">산출!$A$1:$J$20</definedName>
    <definedName name="_xlnm.Print_Area" localSheetId="2">시간단노임!$A$1:$I$30</definedName>
    <definedName name="_xlnm.Print_Area" localSheetId="5">원가계산서!$A$1:$I$28</definedName>
    <definedName name="_xlnm.Print_Area" localSheetId="7">표지!$A$1:$N$21</definedName>
    <definedName name="_xlnm.Print_Titles" localSheetId="4">내역서!$1:$3</definedName>
    <definedName name="_xlnm.Print_Titles" localSheetId="1">산출!$1:$3</definedName>
    <definedName name="영구" localSheetId="1">EVALUATE(산출!B1)</definedName>
  </definedNames>
  <calcPr calcId="125725"/>
</workbook>
</file>

<file path=xl/calcChain.xml><?xml version="1.0" encoding="utf-8"?>
<calcChain xmlns="http://schemas.openxmlformats.org/spreadsheetml/2006/main">
  <c r="N15" i="27"/>
  <c r="F16" i="29"/>
  <c r="K16"/>
  <c r="M16"/>
  <c r="F17"/>
  <c r="I17"/>
  <c r="K17"/>
  <c r="M17"/>
  <c r="F18"/>
  <c r="I18"/>
  <c r="K18"/>
  <c r="M18"/>
  <c r="N16" i="27"/>
  <c r="F13" i="29"/>
  <c r="I13"/>
  <c r="K13"/>
  <c r="M13"/>
  <c r="F14"/>
  <c r="I14"/>
  <c r="K14"/>
  <c r="M14"/>
  <c r="F15"/>
  <c r="K15"/>
  <c r="M15"/>
  <c r="F12"/>
  <c r="I12"/>
  <c r="K12"/>
  <c r="M12"/>
  <c r="E15" i="38"/>
  <c r="K10" i="29"/>
  <c r="G10" s="1"/>
  <c r="N10" i="27"/>
  <c r="G14" i="38"/>
  <c r="M19" i="29" l="1"/>
  <c r="G18"/>
  <c r="G16"/>
  <c r="G17"/>
  <c r="G15"/>
  <c r="G13"/>
  <c r="G14"/>
  <c r="G12"/>
  <c r="E14" i="38"/>
  <c r="F6" i="29" l="1"/>
  <c r="L8"/>
  <c r="M8" s="1"/>
  <c r="K8"/>
  <c r="M11"/>
  <c r="K11"/>
  <c r="G12" i="38"/>
  <c r="G13"/>
  <c r="E13" l="1"/>
  <c r="E12"/>
  <c r="E5"/>
  <c r="G8" i="29"/>
  <c r="F8"/>
  <c r="F7"/>
  <c r="X23" i="30" l="1"/>
  <c r="AT1" i="29"/>
  <c r="G10" i="38"/>
  <c r="G8"/>
  <c r="G9"/>
  <c r="E6" l="1"/>
  <c r="E11"/>
  <c r="E10"/>
  <c r="E9"/>
  <c r="E8"/>
  <c r="E7"/>
  <c r="K7" i="29" l="1"/>
  <c r="M7"/>
  <c r="K9"/>
  <c r="A9" i="42"/>
  <c r="G7" i="29" l="1"/>
  <c r="H5" i="42"/>
  <c r="J5"/>
  <c r="H6"/>
  <c r="J6"/>
  <c r="I7"/>
  <c r="J7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4"/>
  <c r="I4"/>
  <c r="A4"/>
  <c r="A5" s="1"/>
  <c r="E4"/>
  <c r="G4" s="1"/>
  <c r="J4" s="1"/>
  <c r="AT2" i="39"/>
  <c r="E19" i="31"/>
  <c r="N8" i="27"/>
  <c r="N7"/>
  <c r="L9" i="29" s="1"/>
  <c r="N6" i="27"/>
  <c r="N5"/>
  <c r="U24" i="30"/>
  <c r="U22"/>
  <c r="U21"/>
  <c r="U20"/>
  <c r="U19"/>
  <c r="U18"/>
  <c r="U14"/>
  <c r="U11"/>
  <c r="N4" i="27"/>
  <c r="E13" i="39"/>
  <c r="AI13" s="1"/>
  <c r="M27"/>
  <c r="L27"/>
  <c r="D25"/>
  <c r="C25"/>
  <c r="AG25" s="1"/>
  <c r="C23"/>
  <c r="AG23" s="1"/>
  <c r="D23"/>
  <c r="D13"/>
  <c r="AH13" s="1"/>
  <c r="D22"/>
  <c r="D24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B57"/>
  <c r="B49"/>
  <c r="AF49" s="1"/>
  <c r="B47"/>
  <c r="AF47" s="1"/>
  <c r="B45"/>
  <c r="AF45" s="1"/>
  <c r="B43"/>
  <c r="AF43" s="1"/>
  <c r="B41"/>
  <c r="AF41" s="1"/>
  <c r="B39"/>
  <c r="AF39" s="1"/>
  <c r="B37"/>
  <c r="AF37" s="1"/>
  <c r="B59"/>
  <c r="B61"/>
  <c r="B63"/>
  <c r="B65"/>
  <c r="B67"/>
  <c r="B69"/>
  <c r="B71"/>
  <c r="B73"/>
  <c r="B75"/>
  <c r="B35"/>
  <c r="AF35" s="1"/>
  <c r="B33"/>
  <c r="AF33" s="1"/>
  <c r="B31"/>
  <c r="AF31" s="1"/>
  <c r="B29"/>
  <c r="AF29" s="1"/>
  <c r="B27"/>
  <c r="B25"/>
  <c r="AF25" s="1"/>
  <c r="B23"/>
  <c r="AF23" s="1"/>
  <c r="B21"/>
  <c r="AF21" s="1"/>
  <c r="C21"/>
  <c r="E21"/>
  <c r="AI21" s="1"/>
  <c r="E25" i="41"/>
  <c r="E24"/>
  <c r="E23"/>
  <c r="E22"/>
  <c r="I16"/>
  <c r="B1" i="39"/>
  <c r="AF1" s="1"/>
  <c r="B9" i="41" s="1"/>
  <c r="AH49" i="39"/>
  <c r="AH47"/>
  <c r="AH45"/>
  <c r="AH43"/>
  <c r="AH41"/>
  <c r="AH39"/>
  <c r="AH37"/>
  <c r="AH35"/>
  <c r="AH33"/>
  <c r="AH31"/>
  <c r="AH29"/>
  <c r="AH23"/>
  <c r="D49"/>
  <c r="D47"/>
  <c r="D45"/>
  <c r="Z13"/>
  <c r="V9"/>
  <c r="V13" s="1"/>
  <c r="B2" i="30"/>
  <c r="B10" i="31" s="1"/>
  <c r="C7" i="39"/>
  <c r="E7"/>
  <c r="AI7" s="1"/>
  <c r="B9"/>
  <c r="C9"/>
  <c r="AG9" s="1"/>
  <c r="E9"/>
  <c r="AI9" s="1"/>
  <c r="C11"/>
  <c r="AG11" s="1"/>
  <c r="E11"/>
  <c r="AI11" s="1"/>
  <c r="C15"/>
  <c r="AG15" s="1"/>
  <c r="E15"/>
  <c r="AI15" s="1"/>
  <c r="C17"/>
  <c r="AG17" s="1"/>
  <c r="E17"/>
  <c r="AI17" s="1"/>
  <c r="B19"/>
  <c r="AF19" s="1"/>
  <c r="C19"/>
  <c r="E5"/>
  <c r="AI5" s="1"/>
  <c r="C5"/>
  <c r="AG5" s="1"/>
  <c r="B13"/>
  <c r="C13"/>
  <c r="AG13" s="1"/>
  <c r="E19"/>
  <c r="AI19" s="1"/>
  <c r="AG27"/>
  <c r="AG29"/>
  <c r="AG31"/>
  <c r="AG33"/>
  <c r="AE47" i="29"/>
  <c r="AE48"/>
  <c r="AE49"/>
  <c r="AE50"/>
  <c r="AE51"/>
  <c r="AE52"/>
  <c r="AE53"/>
  <c r="AE54"/>
  <c r="AE55"/>
  <c r="AE56"/>
  <c r="A11"/>
  <c r="A40"/>
  <c r="A9"/>
  <c r="A8"/>
  <c r="A7"/>
  <c r="A6"/>
  <c r="A5"/>
  <c r="A4"/>
  <c r="AG49" i="39"/>
  <c r="AG47"/>
  <c r="AG45"/>
  <c r="AG43"/>
  <c r="AG41"/>
  <c r="AG39"/>
  <c r="AG37"/>
  <c r="AG35"/>
  <c r="H31" i="33"/>
  <c r="S2" i="30"/>
  <c r="B2" i="33" s="1"/>
  <c r="X4" i="29"/>
  <c r="V4"/>
  <c r="X5"/>
  <c r="X7"/>
  <c r="V7"/>
  <c r="N14" i="27"/>
  <c r="N13"/>
  <c r="C3" i="43" s="1"/>
  <c r="N12" i="27"/>
  <c r="N11"/>
  <c r="N9"/>
  <c r="Z5" i="29"/>
  <c r="Z4"/>
  <c r="Z7"/>
  <c r="V8"/>
  <c r="AB5"/>
  <c r="AB7"/>
  <c r="V9"/>
  <c r="V5"/>
  <c r="X13" i="39"/>
  <c r="AB13"/>
  <c r="AH14"/>
  <c r="G3" i="43" l="1"/>
  <c r="H8" i="42" s="1"/>
  <c r="F11" i="29"/>
  <c r="I11"/>
  <c r="F9"/>
  <c r="M9"/>
  <c r="A6" i="42"/>
  <c r="A7" s="1"/>
  <c r="A8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L29" i="39"/>
  <c r="AL30" s="1"/>
  <c r="AS32"/>
  <c r="AS33" s="1"/>
  <c r="AL35"/>
  <c r="AL36" s="1"/>
  <c r="AN27"/>
  <c r="AN28" s="1"/>
  <c r="B7"/>
  <c r="AF7" s="1"/>
  <c r="AP31"/>
  <c r="AP32" s="1"/>
  <c r="AN39"/>
  <c r="AN40" s="1"/>
  <c r="AP37"/>
  <c r="AP38" s="1"/>
  <c r="AN35"/>
  <c r="AO35" s="1"/>
  <c r="B11"/>
  <c r="AF11" s="1"/>
  <c r="AP27"/>
  <c r="AP28" s="1"/>
  <c r="AL33"/>
  <c r="AM33" s="1"/>
  <c r="AP43"/>
  <c r="AP44" s="1"/>
  <c r="AL31"/>
  <c r="AM31" s="1"/>
  <c r="AP39"/>
  <c r="AP40" s="1"/>
  <c r="AL39"/>
  <c r="AP49"/>
  <c r="AQ49" s="1"/>
  <c r="B5"/>
  <c r="AF5" s="1"/>
  <c r="B17"/>
  <c r="AF17" s="1"/>
  <c r="B15"/>
  <c r="AF15" s="1"/>
  <c r="E5" i="42"/>
  <c r="G5" s="1"/>
  <c r="I5" s="1"/>
  <c r="J8"/>
  <c r="AN37" i="39"/>
  <c r="AN38" s="1"/>
  <c r="AP45"/>
  <c r="AN31"/>
  <c r="AN23"/>
  <c r="AN24" s="1"/>
  <c r="AN45"/>
  <c r="AN46" s="1"/>
  <c r="AL43"/>
  <c r="AM43" s="1"/>
  <c r="AL37"/>
  <c r="AL38" s="1"/>
  <c r="AP41"/>
  <c r="AQ41" s="1"/>
  <c r="AL41"/>
  <c r="AM41" s="1"/>
  <c r="AL25"/>
  <c r="AP47"/>
  <c r="AP48" s="1"/>
  <c r="AN47"/>
  <c r="AO47" s="1"/>
  <c r="AP35"/>
  <c r="AN29"/>
  <c r="AN30" s="1"/>
  <c r="AL49"/>
  <c r="AP29"/>
  <c r="AN49"/>
  <c r="AH25"/>
  <c r="J25"/>
  <c r="AN25" s="1"/>
  <c r="AN26" s="1"/>
  <c r="AL23"/>
  <c r="AL24" s="1"/>
  <c r="AN33"/>
  <c r="AN41"/>
  <c r="AP33"/>
  <c r="AL47"/>
  <c r="AL48" s="1"/>
  <c r="AN43"/>
  <c r="AL27"/>
  <c r="AP25"/>
  <c r="AP26" s="1"/>
  <c r="AL45"/>
  <c r="AH32"/>
  <c r="AH46"/>
  <c r="AH24"/>
  <c r="AH30"/>
  <c r="AH40"/>
  <c r="AH50"/>
  <c r="AH34"/>
  <c r="AH38"/>
  <c r="AH48"/>
  <c r="AH36"/>
  <c r="AF13"/>
  <c r="AF9"/>
  <c r="AG21"/>
  <c r="AG19"/>
  <c r="AG7"/>
  <c r="D9" i="40"/>
  <c r="D9" i="32"/>
  <c r="G11" i="29" l="1"/>
  <c r="G9"/>
  <c r="AQ31" i="39"/>
  <c r="AL42"/>
  <c r="AQ43"/>
  <c r="AN36"/>
  <c r="AO36" s="1"/>
  <c r="AM29"/>
  <c r="AL32"/>
  <c r="AM32" s="1"/>
  <c r="AJ39"/>
  <c r="AM35"/>
  <c r="AJ35"/>
  <c r="AL34"/>
  <c r="AM34" s="1"/>
  <c r="AJ29"/>
  <c r="AP50"/>
  <c r="AQ50" s="1"/>
  <c r="L11"/>
  <c r="AP11" s="1"/>
  <c r="AP12" s="1"/>
  <c r="AH44"/>
  <c r="AQ44" s="1"/>
  <c r="AH42"/>
  <c r="E6" i="42"/>
  <c r="G6" s="1"/>
  <c r="I6" s="1"/>
  <c r="I8" s="1"/>
  <c r="L9" i="39"/>
  <c r="AP9" s="1"/>
  <c r="AP10" s="1"/>
  <c r="AN48"/>
  <c r="AJ48" s="1"/>
  <c r="AQ37"/>
  <c r="AM25"/>
  <c r="AP42"/>
  <c r="AO39"/>
  <c r="J7"/>
  <c r="AL40"/>
  <c r="AJ40" s="1"/>
  <c r="AM39"/>
  <c r="AM37"/>
  <c r="J5"/>
  <c r="H13"/>
  <c r="AL13" s="1"/>
  <c r="AQ47"/>
  <c r="AQ39"/>
  <c r="AJ41"/>
  <c r="L13"/>
  <c r="AP13" s="1"/>
  <c r="AP14" s="1"/>
  <c r="AQ14" s="1"/>
  <c r="J13"/>
  <c r="AN13" s="1"/>
  <c r="AN14" s="1"/>
  <c r="AO14" s="1"/>
  <c r="AH6"/>
  <c r="AO49"/>
  <c r="AN50"/>
  <c r="AO50" s="1"/>
  <c r="AQ33"/>
  <c r="AP34"/>
  <c r="AQ34" s="1"/>
  <c r="AJ38"/>
  <c r="AJ27"/>
  <c r="AL28"/>
  <c r="AJ28" s="1"/>
  <c r="AO41"/>
  <c r="AK41" s="1"/>
  <c r="AN42"/>
  <c r="AQ25"/>
  <c r="AH26"/>
  <c r="AJ49"/>
  <c r="AL50"/>
  <c r="AM50" s="1"/>
  <c r="AM49"/>
  <c r="AJ37"/>
  <c r="AO31"/>
  <c r="AN32"/>
  <c r="AO45"/>
  <c r="AJ45"/>
  <c r="AL46"/>
  <c r="AM46" s="1"/>
  <c r="AM45"/>
  <c r="AP36"/>
  <c r="AJ36" s="1"/>
  <c r="AQ35"/>
  <c r="AM47"/>
  <c r="AJ47"/>
  <c r="AP30"/>
  <c r="AJ30" s="1"/>
  <c r="AQ29"/>
  <c r="AN44"/>
  <c r="AO43"/>
  <c r="AN34"/>
  <c r="AO33"/>
  <c r="AJ33"/>
  <c r="AJ25"/>
  <c r="AL26"/>
  <c r="AJ26" s="1"/>
  <c r="AL44"/>
  <c r="AJ43"/>
  <c r="AQ45"/>
  <c r="AP46"/>
  <c r="AQ46" s="1"/>
  <c r="AO29"/>
  <c r="AJ31"/>
  <c r="AO37"/>
  <c r="L21"/>
  <c r="AP21" s="1"/>
  <c r="AP22" s="1"/>
  <c r="AM36"/>
  <c r="AQ48"/>
  <c r="AM48"/>
  <c r="AH8"/>
  <c r="AO40"/>
  <c r="AQ40"/>
  <c r="AH10"/>
  <c r="AH16"/>
  <c r="AH18"/>
  <c r="AO46"/>
  <c r="AQ32"/>
  <c r="AH12"/>
  <c r="AH20"/>
  <c r="L15"/>
  <c r="AP15" s="1"/>
  <c r="AP16" s="1"/>
  <c r="L5"/>
  <c r="AP5" s="1"/>
  <c r="AP6" s="1"/>
  <c r="AO38"/>
  <c r="AM38"/>
  <c r="AQ38"/>
  <c r="AO30"/>
  <c r="AM30"/>
  <c r="AH22"/>
  <c r="AK43" l="1"/>
  <c r="AK31"/>
  <c r="L17"/>
  <c r="AP17" s="1"/>
  <c r="AP18" s="1"/>
  <c r="AQ18" s="1"/>
  <c r="L7"/>
  <c r="AP7" s="1"/>
  <c r="AP8" s="1"/>
  <c r="AQ8" s="1"/>
  <c r="AO44"/>
  <c r="AM42"/>
  <c r="AJ32"/>
  <c r="AJ42"/>
  <c r="AO48"/>
  <c r="AK48" s="1"/>
  <c r="AK35"/>
  <c r="AM40"/>
  <c r="AK40" s="1"/>
  <c r="AQ42"/>
  <c r="AO32"/>
  <c r="AK32" s="1"/>
  <c r="K6" i="29"/>
  <c r="I6"/>
  <c r="M6"/>
  <c r="G8" i="42"/>
  <c r="AO42" i="39"/>
  <c r="AK47"/>
  <c r="AQ30"/>
  <c r="AK30" s="1"/>
  <c r="AK37"/>
  <c r="I13"/>
  <c r="G13" s="1"/>
  <c r="AJ44"/>
  <c r="AK39"/>
  <c r="AJ34"/>
  <c r="J19"/>
  <c r="AN19" s="1"/>
  <c r="AN20" s="1"/>
  <c r="AO20" s="1"/>
  <c r="K13"/>
  <c r="AO34"/>
  <c r="AK34" s="1"/>
  <c r="AQ36"/>
  <c r="AK36" s="1"/>
  <c r="F13"/>
  <c r="AQ13"/>
  <c r="AK29"/>
  <c r="AO13"/>
  <c r="AK33"/>
  <c r="AK45"/>
  <c r="AK49"/>
  <c r="M13"/>
  <c r="L19"/>
  <c r="AP19" s="1"/>
  <c r="AP20" s="1"/>
  <c r="AQ20" s="1"/>
  <c r="J21"/>
  <c r="AN21" s="1"/>
  <c r="AN22" s="1"/>
  <c r="AO22" s="1"/>
  <c r="AQ26"/>
  <c r="AM26"/>
  <c r="AM44"/>
  <c r="AJ46"/>
  <c r="AJ50"/>
  <c r="AO6"/>
  <c r="AQ6"/>
  <c r="AK50"/>
  <c r="AQ10"/>
  <c r="I5" i="29"/>
  <c r="K5"/>
  <c r="K19" s="1"/>
  <c r="M5"/>
  <c r="AQ22" i="39"/>
  <c r="AQ16"/>
  <c r="AK38"/>
  <c r="AK46"/>
  <c r="AJ13"/>
  <c r="AL14"/>
  <c r="AM13"/>
  <c r="AQ12"/>
  <c r="AO8"/>
  <c r="I19" i="29" l="1"/>
  <c r="J17" i="39"/>
  <c r="AN17" s="1"/>
  <c r="AN18" s="1"/>
  <c r="AO18" s="1"/>
  <c r="AK44"/>
  <c r="AK42"/>
  <c r="G6" i="29"/>
  <c r="J11" i="39"/>
  <c r="AN11" s="1"/>
  <c r="AN12" s="1"/>
  <c r="AO12" s="1"/>
  <c r="AK13"/>
  <c r="G5" i="29"/>
  <c r="D17" i="39"/>
  <c r="D11"/>
  <c r="H7"/>
  <c r="D15"/>
  <c r="H17"/>
  <c r="H21"/>
  <c r="H11"/>
  <c r="AJ14"/>
  <c r="AM14"/>
  <c r="AK14" s="1"/>
  <c r="D19"/>
  <c r="H9"/>
  <c r="AQ24"/>
  <c r="AQ28" s="1"/>
  <c r="D21"/>
  <c r="D9"/>
  <c r="H15"/>
  <c r="H5"/>
  <c r="D7"/>
  <c r="H19"/>
  <c r="G19" i="29" l="1"/>
  <c r="V13" i="30"/>
  <c r="D5" i="39"/>
  <c r="AH5" s="1"/>
  <c r="F19"/>
  <c r="AL19"/>
  <c r="M7"/>
  <c r="AH7"/>
  <c r="I7"/>
  <c r="K7"/>
  <c r="AL9"/>
  <c r="AL17"/>
  <c r="F17"/>
  <c r="AH11"/>
  <c r="M11"/>
  <c r="K11"/>
  <c r="I11"/>
  <c r="M19"/>
  <c r="I19"/>
  <c r="K19"/>
  <c r="AH19"/>
  <c r="AL21"/>
  <c r="F21"/>
  <c r="I15"/>
  <c r="M15"/>
  <c r="AH15"/>
  <c r="F7"/>
  <c r="AL7"/>
  <c r="AL15"/>
  <c r="AH9"/>
  <c r="M9"/>
  <c r="I9"/>
  <c r="K21"/>
  <c r="I21"/>
  <c r="M21"/>
  <c r="AH21"/>
  <c r="AL11"/>
  <c r="F11"/>
  <c r="AL5"/>
  <c r="F5"/>
  <c r="M17"/>
  <c r="K17"/>
  <c r="AH17"/>
  <c r="I17"/>
  <c r="H26" i="30" l="1"/>
  <c r="E18" i="31" s="1"/>
  <c r="J15" i="39"/>
  <c r="M5"/>
  <c r="M23" s="1"/>
  <c r="J9"/>
  <c r="K5"/>
  <c r="I5"/>
  <c r="I23" s="1"/>
  <c r="G19"/>
  <c r="AL16"/>
  <c r="AM15"/>
  <c r="AQ15"/>
  <c r="AO7"/>
  <c r="AQ7"/>
  <c r="AM7"/>
  <c r="AL6"/>
  <c r="AJ5"/>
  <c r="AL22"/>
  <c r="AJ21"/>
  <c r="AQ11"/>
  <c r="AO11"/>
  <c r="AM11"/>
  <c r="AL10"/>
  <c r="G17"/>
  <c r="AJ11"/>
  <c r="AL12"/>
  <c r="AQ9"/>
  <c r="AM9"/>
  <c r="AL8"/>
  <c r="AJ7"/>
  <c r="L23"/>
  <c r="AP23" s="1"/>
  <c r="AO19"/>
  <c r="AM19"/>
  <c r="AQ19"/>
  <c r="G11"/>
  <c r="AO5"/>
  <c r="AQ5"/>
  <c r="AM5"/>
  <c r="H23" i="33"/>
  <c r="H21" s="1"/>
  <c r="AJ19" i="39"/>
  <c r="AL20"/>
  <c r="G21"/>
  <c r="AO17"/>
  <c r="AQ17"/>
  <c r="AM17"/>
  <c r="AO21"/>
  <c r="AQ21"/>
  <c r="AM21"/>
  <c r="AL18"/>
  <c r="AJ17"/>
  <c r="G7"/>
  <c r="H6" i="30" l="1"/>
  <c r="V7"/>
  <c r="V6" s="1"/>
  <c r="V10"/>
  <c r="V11" s="1"/>
  <c r="V9" s="1"/>
  <c r="AN15" i="39"/>
  <c r="K15"/>
  <c r="G15" s="1"/>
  <c r="F15"/>
  <c r="H16" i="30"/>
  <c r="V16" s="1"/>
  <c r="H28" i="33" s="1"/>
  <c r="G5" i="39"/>
  <c r="AN9"/>
  <c r="F9"/>
  <c r="K9"/>
  <c r="AK11"/>
  <c r="AK7"/>
  <c r="AK19"/>
  <c r="AJ8"/>
  <c r="AM8"/>
  <c r="AK8" s="1"/>
  <c r="AJ12"/>
  <c r="AM12"/>
  <c r="AK12" s="1"/>
  <c r="AM23"/>
  <c r="AK5"/>
  <c r="AP24"/>
  <c r="AJ24" s="1"/>
  <c r="AJ23"/>
  <c r="K25"/>
  <c r="G25" s="1"/>
  <c r="I27"/>
  <c r="AM16"/>
  <c r="AJ22"/>
  <c r="AM22"/>
  <c r="AK22" s="1"/>
  <c r="AK21"/>
  <c r="AK17"/>
  <c r="AJ20"/>
  <c r="AM20"/>
  <c r="AK20" s="1"/>
  <c r="AJ18"/>
  <c r="AM18"/>
  <c r="AK18" s="1"/>
  <c r="AQ23"/>
  <c r="AQ27" s="1"/>
  <c r="H22" i="33" s="1"/>
  <c r="H20" s="1"/>
  <c r="AM10" i="39"/>
  <c r="AJ6"/>
  <c r="AM6"/>
  <c r="V18" i="30" l="1"/>
  <c r="AN16" i="39"/>
  <c r="AO15"/>
  <c r="AK15" s="1"/>
  <c r="AJ15"/>
  <c r="H15" i="30"/>
  <c r="V15" s="1"/>
  <c r="V17" s="1"/>
  <c r="J18"/>
  <c r="H11"/>
  <c r="H9" s="1"/>
  <c r="H14" s="1"/>
  <c r="K23" i="39"/>
  <c r="K27" s="1"/>
  <c r="G9"/>
  <c r="G23" s="1"/>
  <c r="G27" s="1"/>
  <c r="AN10"/>
  <c r="AJ9"/>
  <c r="AO9"/>
  <c r="V19" i="30"/>
  <c r="V14"/>
  <c r="V20"/>
  <c r="AM27" i="39"/>
  <c r="H16" i="33" s="1"/>
  <c r="AO25" i="39"/>
  <c r="AK25" s="1"/>
  <c r="AM24"/>
  <c r="AK6"/>
  <c r="AO16" l="1"/>
  <c r="AK16" s="1"/>
  <c r="AJ16"/>
  <c r="H26" i="33"/>
  <c r="H30" s="1"/>
  <c r="H20" i="30"/>
  <c r="H17"/>
  <c r="H19"/>
  <c r="AO10" i="39"/>
  <c r="AJ10"/>
  <c r="AO23"/>
  <c r="AO27" s="1"/>
  <c r="H10" i="33" s="1"/>
  <c r="H8" s="1"/>
  <c r="AK9" i="39"/>
  <c r="AK23" s="1"/>
  <c r="AK27" s="1"/>
  <c r="H18" i="33"/>
  <c r="H14" s="1"/>
  <c r="V12" i="30"/>
  <c r="AM28" i="39"/>
  <c r="H17" i="33" s="1"/>
  <c r="AO26" i="39"/>
  <c r="AK26" s="1"/>
  <c r="H12" i="30" l="1"/>
  <c r="H5" s="1"/>
  <c r="AO24" i="39"/>
  <c r="AO28" s="1"/>
  <c r="H11" i="33" s="1"/>
  <c r="H9" s="1"/>
  <c r="AK10" i="39"/>
  <c r="AK24" s="1"/>
  <c r="AK28" s="1"/>
  <c r="H24" i="33"/>
  <c r="H34"/>
  <c r="H36"/>
  <c r="H6"/>
  <c r="H38" s="1"/>
  <c r="H40" s="1"/>
  <c r="H42" s="1"/>
  <c r="H19"/>
  <c r="H15" s="1"/>
  <c r="V5" i="30"/>
  <c r="H21" l="1"/>
  <c r="J21" s="1"/>
  <c r="H44" i="33"/>
  <c r="H46" s="1"/>
  <c r="H35"/>
  <c r="H25"/>
  <c r="H37"/>
  <c r="H7"/>
  <c r="H39" s="1"/>
  <c r="J41" s="1"/>
  <c r="H41" s="1"/>
  <c r="H43" s="1"/>
  <c r="V21" i="30"/>
  <c r="X21" s="1"/>
  <c r="V22" s="1"/>
  <c r="V23" s="1"/>
  <c r="H23" l="1"/>
  <c r="H22" s="1"/>
  <c r="H45" i="33"/>
  <c r="H47" s="1"/>
  <c r="H52"/>
  <c r="B3" s="1"/>
  <c r="E20" i="41"/>
  <c r="D14" s="1"/>
  <c r="D12" s="1"/>
  <c r="H24" i="30" l="1"/>
  <c r="H25" s="1"/>
  <c r="J25" s="1"/>
  <c r="H53" i="33"/>
  <c r="B4" s="1"/>
  <c r="E21" i="41"/>
  <c r="D15" s="1"/>
  <c r="E17" i="31" l="1"/>
  <c r="D14" s="1"/>
  <c r="D13" s="1"/>
  <c r="H28" i="30"/>
  <c r="B3" s="1"/>
  <c r="C28" i="41"/>
  <c r="D13"/>
  <c r="V24" i="30"/>
  <c r="C22" i="31" l="1"/>
  <c r="V25" i="30"/>
  <c r="V28" s="1"/>
  <c r="S3" s="1"/>
  <c r="X22"/>
</calcChain>
</file>

<file path=xl/sharedStrings.xml><?xml version="1.0" encoding="utf-8"?>
<sst xmlns="http://schemas.openxmlformats.org/spreadsheetml/2006/main" count="616" uniqueCount="301">
  <si>
    <t>합계</t>
    <phoneticPr fontId="2" type="noConversion"/>
  </si>
  <si>
    <t>계</t>
    <phoneticPr fontId="2" type="noConversion"/>
  </si>
  <si>
    <t>단    가    산    출    조    사    서</t>
    <phoneticPr fontId="2" type="noConversion"/>
  </si>
  <si>
    <t>품        목</t>
    <phoneticPr fontId="2" type="noConversion"/>
  </si>
  <si>
    <t>규   격</t>
    <phoneticPr fontId="2" type="noConversion"/>
  </si>
  <si>
    <t>단  위</t>
    <phoneticPr fontId="2" type="noConversion"/>
  </si>
  <si>
    <t>수 량</t>
    <phoneticPr fontId="2" type="noConversion"/>
  </si>
  <si>
    <t>단                    가</t>
    <phoneticPr fontId="2" type="noConversion"/>
  </si>
  <si>
    <t>적   용</t>
    <phoneticPr fontId="2" type="noConversion"/>
  </si>
  <si>
    <t>A   사</t>
    <phoneticPr fontId="2" type="noConversion"/>
  </si>
  <si>
    <t>B   사</t>
    <phoneticPr fontId="2" type="noConversion"/>
  </si>
  <si>
    <t>ℓ</t>
    <phoneticPr fontId="2" type="noConversion"/>
  </si>
  <si>
    <t>인</t>
    <phoneticPr fontId="2" type="noConversion"/>
  </si>
  <si>
    <t>화물차운전사</t>
    <phoneticPr fontId="2" type="noConversion"/>
  </si>
  <si>
    <t>조사기간 :</t>
    <phoneticPr fontId="2" type="noConversion"/>
  </si>
  <si>
    <t>조  사  자 :</t>
    <phoneticPr fontId="2" type="noConversion"/>
  </si>
  <si>
    <t>확  인  자 :</t>
    <phoneticPr fontId="2" type="noConversion"/>
  </si>
  <si>
    <t>금      액</t>
    <phoneticPr fontId="2" type="noConversion"/>
  </si>
  <si>
    <t>단    가</t>
    <phoneticPr fontId="2" type="noConversion"/>
  </si>
  <si>
    <t>비  고</t>
    <phoneticPr fontId="2" type="noConversion"/>
  </si>
  <si>
    <t>경           비</t>
    <phoneticPr fontId="29" type="noConversion"/>
  </si>
  <si>
    <t>재   료   비</t>
    <phoneticPr fontId="29" type="noConversion"/>
  </si>
  <si>
    <t>노   무   비</t>
    <phoneticPr fontId="29" type="noConversion"/>
  </si>
  <si>
    <t>총     액</t>
    <phoneticPr fontId="29" type="noConversion"/>
  </si>
  <si>
    <t>단위</t>
  </si>
  <si>
    <t>수량</t>
  </si>
  <si>
    <t>규 격</t>
  </si>
  <si>
    <t>품        명</t>
    <phoneticPr fontId="2" type="noConversion"/>
  </si>
  <si>
    <t xml:space="preserve"> 지급자재</t>
    <phoneticPr fontId="2" type="noConversion"/>
  </si>
  <si>
    <t>지급자재</t>
    <phoneticPr fontId="2" type="noConversion"/>
  </si>
  <si>
    <t xml:space="preserve"> 9.  총      합      계</t>
    <phoneticPr fontId="34" type="noConversion"/>
  </si>
  <si>
    <t xml:space="preserve"> 8. 관  급  자  재  비</t>
    <phoneticPr fontId="2" type="noConversion"/>
  </si>
  <si>
    <t>식</t>
    <phoneticPr fontId="2" type="noConversion"/>
  </si>
  <si>
    <t xml:space="preserve"> 7. 안전공사검사수수료</t>
    <phoneticPr fontId="2" type="noConversion"/>
  </si>
  <si>
    <t xml:space="preserve"> 4 + 5</t>
  </si>
  <si>
    <t xml:space="preserve"> 6.  합              계 </t>
    <phoneticPr fontId="2" type="noConversion"/>
  </si>
  <si>
    <t xml:space="preserve"> 4 의</t>
    <phoneticPr fontId="34" type="noConversion"/>
  </si>
  <si>
    <t xml:space="preserve"> 5.  부  가  가  치  세</t>
  </si>
  <si>
    <t xml:space="preserve"> 1 + 2 + 3</t>
    <phoneticPr fontId="2" type="noConversion"/>
  </si>
  <si>
    <t xml:space="preserve"> 4.  소              계</t>
  </si>
  <si>
    <t xml:space="preserve"> 1 의 나 + 1 의 다 + 2 의</t>
    <phoneticPr fontId="34" type="noConversion"/>
  </si>
  <si>
    <t xml:space="preserve"> 3.  이              윤</t>
  </si>
  <si>
    <t xml:space="preserve"> 1의 </t>
    <phoneticPr fontId="34" type="noConversion"/>
  </si>
  <si>
    <t xml:space="preserve"> 2.  일  반  관  리  비 </t>
  </si>
  <si>
    <t xml:space="preserve"> 가 + 나 의 </t>
    <phoneticPr fontId="34" type="noConversion"/>
  </si>
  <si>
    <t xml:space="preserve">      8) 기타경비</t>
    <phoneticPr fontId="34" type="noConversion"/>
  </si>
  <si>
    <t xml:space="preserve"> 나 의 </t>
    <phoneticPr fontId="34" type="noConversion"/>
  </si>
  <si>
    <t xml:space="preserve">      7) 고용보험료</t>
    <phoneticPr fontId="34" type="noConversion"/>
  </si>
  <si>
    <t xml:space="preserve"> 가 + 나 1) + 관급자재비) 의 </t>
    <phoneticPr fontId="34" type="noConversion"/>
  </si>
  <si>
    <t xml:space="preserve">      6) 안전관리비</t>
    <phoneticPr fontId="34" type="noConversion"/>
  </si>
  <si>
    <t xml:space="preserve"> 다 3) 의</t>
    <phoneticPr fontId="2" type="noConversion"/>
  </si>
  <si>
    <t xml:space="preserve">      5) 노인장기요양보험</t>
    <phoneticPr fontId="2" type="noConversion"/>
  </si>
  <si>
    <t xml:space="preserve"> 나 1) 의</t>
    <phoneticPr fontId="34" type="noConversion"/>
  </si>
  <si>
    <t xml:space="preserve">      4) 연금보험료</t>
    <phoneticPr fontId="2" type="noConversion"/>
  </si>
  <si>
    <t xml:space="preserve">      3) 건강보험료</t>
    <phoneticPr fontId="2" type="noConversion"/>
  </si>
  <si>
    <t xml:space="preserve"> 나 의</t>
    <phoneticPr fontId="34" type="noConversion"/>
  </si>
  <si>
    <t xml:space="preserve">      2) 산재보험료</t>
  </si>
  <si>
    <t xml:space="preserve">      1) 산출경비</t>
    <phoneticPr fontId="2" type="noConversion"/>
  </si>
  <si>
    <t xml:space="preserve"> 다 1) + 다 2) + 다 3) + 다 4) + 다 5) + 다 6) + 다 7) + 다 8)</t>
    <phoneticPr fontId="34" type="noConversion"/>
  </si>
  <si>
    <t xml:space="preserve">  다. 경    비</t>
    <phoneticPr fontId="2" type="noConversion"/>
  </si>
  <si>
    <t xml:space="preserve"> 나 1) 의  </t>
    <phoneticPr fontId="34" type="noConversion"/>
  </si>
  <si>
    <t xml:space="preserve">      2) 간접노무비</t>
  </si>
  <si>
    <t xml:space="preserve">      1) 직접노무비</t>
  </si>
  <si>
    <t xml:space="preserve">  나. 노  무  비</t>
    <phoneticPr fontId="2" type="noConversion"/>
  </si>
  <si>
    <t xml:space="preserve">      2) 부산물공제</t>
  </si>
  <si>
    <t xml:space="preserve">      1) 직접재료비</t>
  </si>
  <si>
    <t xml:space="preserve"> 가 1) + 가 2)</t>
    <phoneticPr fontId="2" type="noConversion"/>
  </si>
  <si>
    <t xml:space="preserve">  가. 재  료  비</t>
    <phoneticPr fontId="2" type="noConversion"/>
  </si>
  <si>
    <t xml:space="preserve"> 가  + 나  + 다 </t>
    <phoneticPr fontId="2" type="noConversion"/>
  </si>
  <si>
    <t xml:space="preserve"> 1.  총      원       가</t>
  </si>
  <si>
    <t>금      액</t>
  </si>
  <si>
    <t>구     성     비</t>
  </si>
  <si>
    <t>구              분</t>
  </si>
  <si>
    <t>공  사  원  가  계  산  서</t>
    <phoneticPr fontId="2" type="noConversion"/>
  </si>
  <si>
    <t>도급예산액 :</t>
    <phoneticPr fontId="2" type="noConversion"/>
  </si>
  <si>
    <t>내      역 :</t>
    <phoneticPr fontId="2" type="noConversion"/>
  </si>
  <si>
    <t>공사개요 :</t>
    <phoneticPr fontId="2" type="noConversion"/>
  </si>
  <si>
    <t>총공사비 :</t>
    <phoneticPr fontId="2" type="noConversion"/>
  </si>
  <si>
    <t>설계자</t>
    <phoneticPr fontId="2" type="noConversion"/>
  </si>
  <si>
    <t>심사자</t>
    <phoneticPr fontId="2" type="noConversion"/>
  </si>
  <si>
    <r>
      <t xml:space="preserve"> </t>
    </r>
    <r>
      <rPr>
        <b/>
        <u/>
        <sz val="20"/>
        <color indexed="8"/>
        <rFont val="굴림"/>
        <family val="3"/>
        <charset val="129"/>
      </rPr>
      <t>설      계      서      용     지 (갑지)</t>
    </r>
    <phoneticPr fontId="2" type="noConversion"/>
  </si>
  <si>
    <t>공  사  명 :</t>
    <phoneticPr fontId="2" type="noConversion"/>
  </si>
  <si>
    <t>공   사   설   계   내   역   서</t>
    <phoneticPr fontId="2" type="noConversion"/>
  </si>
  <si>
    <t xml:space="preserve"> 4 의</t>
    <phoneticPr fontId="34" type="noConversion"/>
  </si>
  <si>
    <t xml:space="preserve"> 1 + 2 + 3</t>
    <phoneticPr fontId="2" type="noConversion"/>
  </si>
  <si>
    <t xml:space="preserve"> 1 의 나 + 1 의 다 + 2 의</t>
    <phoneticPr fontId="34" type="noConversion"/>
  </si>
  <si>
    <t xml:space="preserve"> 1의 </t>
    <phoneticPr fontId="34" type="noConversion"/>
  </si>
  <si>
    <t xml:space="preserve"> 가 + 나 의 </t>
    <phoneticPr fontId="34" type="noConversion"/>
  </si>
  <si>
    <t xml:space="preserve"> 나 의 </t>
    <phoneticPr fontId="34" type="noConversion"/>
  </si>
  <si>
    <t xml:space="preserve"> 가 + 나 1) + 관급자재비) 의 </t>
    <phoneticPr fontId="34" type="noConversion"/>
  </si>
  <si>
    <t xml:space="preserve"> 다 3) 의</t>
    <phoneticPr fontId="2" type="noConversion"/>
  </si>
  <si>
    <t xml:space="preserve"> 나 1) 의</t>
    <phoneticPr fontId="34" type="noConversion"/>
  </si>
  <si>
    <t xml:space="preserve"> 나 의</t>
    <phoneticPr fontId="34" type="noConversion"/>
  </si>
  <si>
    <t xml:space="preserve"> 나 1) 의  </t>
    <phoneticPr fontId="34" type="noConversion"/>
  </si>
  <si>
    <t xml:space="preserve"> 가 1) + 가 2)</t>
    <phoneticPr fontId="2" type="noConversion"/>
  </si>
  <si>
    <t xml:space="preserve"> 가  + 나  + 다 </t>
    <phoneticPr fontId="2" type="noConversion"/>
  </si>
  <si>
    <t>공  사  원  가  계  산  서</t>
    <phoneticPr fontId="2" type="noConversion"/>
  </si>
  <si>
    <t>소계</t>
    <phoneticPr fontId="2" type="noConversion"/>
  </si>
  <si>
    <t>○</t>
    <phoneticPr fontId="2" type="noConversion"/>
  </si>
  <si>
    <t>노무비</t>
    <phoneticPr fontId="2" type="noConversion"/>
  </si>
  <si>
    <t>재료비</t>
    <phoneticPr fontId="2" type="noConversion"/>
  </si>
  <si>
    <t>비   고</t>
    <phoneticPr fontId="2" type="noConversion"/>
  </si>
  <si>
    <t>경비</t>
    <phoneticPr fontId="2" type="noConversion"/>
  </si>
  <si>
    <t>수   량   산   출</t>
    <phoneticPr fontId="2" type="noConversion"/>
  </si>
  <si>
    <t>품         명</t>
    <phoneticPr fontId="2" type="noConversion"/>
  </si>
  <si>
    <t>단위</t>
    <phoneticPr fontId="2" type="noConversion"/>
  </si>
  <si>
    <t>할증</t>
    <phoneticPr fontId="2" type="noConversion"/>
  </si>
  <si>
    <t>산          출          기          초</t>
    <phoneticPr fontId="2" type="noConversion"/>
  </si>
  <si>
    <t>관급자재</t>
    <phoneticPr fontId="2" type="noConversion"/>
  </si>
  <si>
    <t>도시기반처 가로등관리팀</t>
    <phoneticPr fontId="2" type="noConversion"/>
  </si>
  <si>
    <t>관급자재비 :</t>
    <phoneticPr fontId="2" type="noConversion"/>
  </si>
  <si>
    <t>조달수수료 :</t>
    <phoneticPr fontId="2" type="noConversion"/>
  </si>
  <si>
    <t>팀    장</t>
    <phoneticPr fontId="2" type="noConversion"/>
  </si>
  <si>
    <t>처   장</t>
    <phoneticPr fontId="2" type="noConversion"/>
  </si>
  <si>
    <t>★</t>
    <phoneticPr fontId="2" type="noConversion"/>
  </si>
  <si>
    <t>소             계</t>
    <phoneticPr fontId="2" type="noConversion"/>
  </si>
  <si>
    <t>○</t>
    <phoneticPr fontId="2" type="noConversion"/>
  </si>
  <si>
    <t>★</t>
    <phoneticPr fontId="2" type="noConversion"/>
  </si>
  <si>
    <r>
      <t>공사설계</t>
    </r>
    <r>
      <rPr>
        <b/>
        <sz val="28"/>
        <color indexed="10"/>
        <rFont val="굴림"/>
        <family val="3"/>
        <charset val="129"/>
      </rPr>
      <t>변경</t>
    </r>
    <r>
      <rPr>
        <b/>
        <sz val="28"/>
        <rFont val="굴림"/>
        <family val="3"/>
        <charset val="129"/>
      </rPr>
      <t>내역서</t>
    </r>
    <phoneticPr fontId="2" type="noConversion"/>
  </si>
  <si>
    <r>
      <t xml:space="preserve"> 설계</t>
    </r>
    <r>
      <rPr>
        <b/>
        <u/>
        <sz val="14"/>
        <color indexed="10"/>
        <rFont val="굴림"/>
        <family val="3"/>
        <charset val="129"/>
      </rPr>
      <t>(변경)</t>
    </r>
    <r>
      <rPr>
        <b/>
        <u/>
        <sz val="14"/>
        <color indexed="8"/>
        <rFont val="굴림"/>
        <family val="3"/>
        <charset val="129"/>
      </rPr>
      <t xml:space="preserve"> 예산서 </t>
    </r>
    <phoneticPr fontId="2" type="noConversion"/>
  </si>
  <si>
    <t>다기능설치(10㎟ 이하) × 576개소</t>
    <phoneticPr fontId="2" type="noConversion"/>
  </si>
  <si>
    <t>다기능설치(16㎟ 이상) × 263개소</t>
    <phoneticPr fontId="2" type="noConversion"/>
  </si>
  <si>
    <t>가로등주 철거 및 설치 × 12본</t>
    <phoneticPr fontId="2" type="noConversion"/>
  </si>
  <si>
    <t>다기능설치(10㎟ 이하) × 562개소</t>
    <phoneticPr fontId="2" type="noConversion"/>
  </si>
  <si>
    <t>다기능설치(16㎟ 이상) × 264개소</t>
    <phoneticPr fontId="2" type="noConversion"/>
  </si>
  <si>
    <t>2013년도</t>
    <phoneticPr fontId="2" type="noConversion"/>
  </si>
  <si>
    <t>팀장</t>
    <phoneticPr fontId="2" type="noConversion"/>
  </si>
  <si>
    <t>처장</t>
    <phoneticPr fontId="2" type="noConversion"/>
  </si>
  <si>
    <t>가.</t>
    <phoneticPr fontId="2" type="noConversion"/>
  </si>
  <si>
    <t>1)</t>
    <phoneticPr fontId="2" type="noConversion"/>
  </si>
  <si>
    <t>2)</t>
  </si>
  <si>
    <t>2)</t>
    <phoneticPr fontId="2" type="noConversion"/>
  </si>
  <si>
    <t>나.</t>
    <phoneticPr fontId="2" type="noConversion"/>
  </si>
  <si>
    <t>다.</t>
    <phoneticPr fontId="2" type="noConversion"/>
  </si>
  <si>
    <t>3)</t>
  </si>
  <si>
    <t>4)</t>
  </si>
  <si>
    <t>5)</t>
  </si>
  <si>
    <t>6)</t>
  </si>
  <si>
    <t>7)</t>
  </si>
  <si>
    <t>8)</t>
  </si>
  <si>
    <t>1.</t>
    <phoneticPr fontId="2" type="noConversion"/>
  </si>
  <si>
    <t>2.</t>
    <phoneticPr fontId="2" type="noConversion"/>
  </si>
  <si>
    <t>3.</t>
    <phoneticPr fontId="2" type="noConversion"/>
  </si>
  <si>
    <t>4.</t>
    <phoneticPr fontId="2" type="noConversion"/>
  </si>
  <si>
    <t>5.</t>
    <phoneticPr fontId="2" type="noConversion"/>
  </si>
  <si>
    <t>6.</t>
    <phoneticPr fontId="2" type="noConversion"/>
  </si>
  <si>
    <t>7.</t>
    <phoneticPr fontId="2" type="noConversion"/>
  </si>
  <si>
    <t>8.</t>
    <phoneticPr fontId="2" type="noConversion"/>
  </si>
  <si>
    <t>총      원       가</t>
    <phoneticPr fontId="2" type="noConversion"/>
  </si>
  <si>
    <t>직접재료비</t>
    <phoneticPr fontId="2" type="noConversion"/>
  </si>
  <si>
    <t>부산물공제</t>
    <phoneticPr fontId="2" type="noConversion"/>
  </si>
  <si>
    <t>직접노무비</t>
    <phoneticPr fontId="2" type="noConversion"/>
  </si>
  <si>
    <t>간접노무비</t>
    <phoneticPr fontId="2" type="noConversion"/>
  </si>
  <si>
    <t>산출경비</t>
    <phoneticPr fontId="2" type="noConversion"/>
  </si>
  <si>
    <t>산재보험료</t>
    <phoneticPr fontId="2" type="noConversion"/>
  </si>
  <si>
    <t>건강보험료</t>
    <phoneticPr fontId="2" type="noConversion"/>
  </si>
  <si>
    <t>연금보험료</t>
    <phoneticPr fontId="2" type="noConversion"/>
  </si>
  <si>
    <t>노인장기요양보험</t>
    <phoneticPr fontId="2" type="noConversion"/>
  </si>
  <si>
    <t>고용보험료</t>
    <phoneticPr fontId="34" type="noConversion"/>
  </si>
  <si>
    <t>기타경비</t>
    <phoneticPr fontId="34" type="noConversion"/>
  </si>
  <si>
    <t xml:space="preserve">일반관리비 </t>
    <phoneticPr fontId="2" type="noConversion"/>
  </si>
  <si>
    <t>이윤</t>
    <phoneticPr fontId="2" type="noConversion"/>
  </si>
  <si>
    <t>소계</t>
    <phoneticPr fontId="2" type="noConversion"/>
  </si>
  <si>
    <t>부가가치세</t>
    <phoneticPr fontId="2" type="noConversion"/>
  </si>
  <si>
    <t>도급금액</t>
    <phoneticPr fontId="2" type="noConversion"/>
  </si>
  <si>
    <t>관급자재비</t>
    <phoneticPr fontId="2" type="noConversion"/>
  </si>
  <si>
    <t>총합계</t>
    <phoneticPr fontId="34" type="noConversion"/>
  </si>
  <si>
    <t>재료비</t>
    <phoneticPr fontId="2" type="noConversion"/>
  </si>
  <si>
    <t>총원가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</si>
  <si>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</si>
  <si>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</si>
  <si>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</si>
  <si>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노인장기요양보험</t>
    <phoneticPr fontId="2" type="noConversion"/>
  </si>
  <si>
    <t>고용보험</t>
    <phoneticPr fontId="34" type="noConversion"/>
  </si>
  <si>
    <t>일반관리비</t>
    <phoneticPr fontId="2" type="noConversion"/>
  </si>
  <si>
    <t>이윤</t>
    <phoneticPr fontId="2" type="noConversion"/>
  </si>
  <si>
    <t>소계</t>
    <phoneticPr fontId="2" type="noConversion"/>
  </si>
  <si>
    <t>3.</t>
  </si>
  <si>
    <t>4.</t>
  </si>
  <si>
    <t>5.</t>
  </si>
  <si>
    <t>6.</t>
  </si>
  <si>
    <t>7.</t>
  </si>
  <si>
    <t>8.</t>
  </si>
  <si>
    <t>9.</t>
  </si>
  <si>
    <t>부가가치세</t>
    <phoneticPr fontId="2" type="noConversion"/>
  </si>
  <si>
    <t>합계</t>
    <phoneticPr fontId="2" type="noConversion"/>
  </si>
  <si>
    <t>관급자재비</t>
    <phoneticPr fontId="2" type="noConversion"/>
  </si>
  <si>
    <t>조달수수료</t>
    <phoneticPr fontId="2" type="noConversion"/>
  </si>
  <si>
    <t>총합계</t>
    <phoneticPr fontId="34" type="noConversion"/>
  </si>
  <si>
    <t>산업안전관리비</t>
    <phoneticPr fontId="34" type="noConversion"/>
  </si>
  <si>
    <t>다의 1) + 2) + 3) + 4) + 5) + 6) + 7) + 8)</t>
    <phoneticPr fontId="34" type="noConversion"/>
  </si>
  <si>
    <t>공  사  원  가  계  산  서</t>
    <phoneticPr fontId="2" type="noConversion"/>
  </si>
  <si>
    <t>한전불입금</t>
    <phoneticPr fontId="2" type="noConversion"/>
  </si>
  <si>
    <t>금액</t>
    <phoneticPr fontId="2" type="noConversion"/>
  </si>
  <si>
    <t>산출</t>
    <phoneticPr fontId="2" type="noConversion"/>
  </si>
  <si>
    <t>구  분</t>
    <phoneticPr fontId="2" type="noConversion"/>
  </si>
  <si>
    <t>잡유 주연료의</t>
    <phoneticPr fontId="2" type="noConversion"/>
  </si>
  <si>
    <t>직종</t>
    <phoneticPr fontId="2" type="noConversion"/>
  </si>
  <si>
    <t>경유</t>
    <phoneticPr fontId="2" type="noConversion"/>
  </si>
  <si>
    <t>1</t>
    <phoneticPr fontId="2" type="noConversion"/>
  </si>
  <si>
    <t>기     계     경     비     산     출</t>
    <phoneticPr fontId="2" type="noConversion"/>
  </si>
  <si>
    <t>1Ton</t>
    <phoneticPr fontId="2" type="noConversion"/>
  </si>
  <si>
    <t>화물트럭</t>
    <phoneticPr fontId="2" type="noConversion"/>
  </si>
  <si>
    <t>hr</t>
    <phoneticPr fontId="2" type="noConversion"/>
  </si>
  <si>
    <t>1t</t>
    <phoneticPr fontId="2" type="noConversion"/>
  </si>
  <si>
    <t>노임계수</t>
    <phoneticPr fontId="2" type="noConversion"/>
  </si>
  <si>
    <t>직종별 시간당 노임</t>
    <phoneticPr fontId="2" type="noConversion"/>
  </si>
  <si>
    <t>￦/hr</t>
    <phoneticPr fontId="2" type="noConversion"/>
  </si>
  <si>
    <t>저유황</t>
    <phoneticPr fontId="2" type="noConversion"/>
  </si>
  <si>
    <t>개</t>
    <phoneticPr fontId="2" type="noConversion"/>
  </si>
  <si>
    <t xml:space="preserve"> </t>
    <phoneticPr fontId="2" type="noConversion"/>
  </si>
  <si>
    <t xml:space="preserve"> </t>
    <phoneticPr fontId="2" type="noConversion"/>
  </si>
  <si>
    <t>방호차량</t>
    <phoneticPr fontId="2" type="noConversion"/>
  </si>
  <si>
    <t>2대*8시간*일</t>
    <phoneticPr fontId="2" type="noConversion"/>
  </si>
  <si>
    <t>2명*일</t>
    <phoneticPr fontId="2" type="noConversion"/>
  </si>
  <si>
    <t>신호</t>
    <phoneticPr fontId="2" type="noConversion"/>
  </si>
  <si>
    <t>현수막</t>
    <phoneticPr fontId="2" type="noConversion"/>
  </si>
  <si>
    <t>부</t>
    <phoneticPr fontId="2" type="noConversion"/>
  </si>
  <si>
    <t>Ⅱ</t>
    <phoneticPr fontId="2" type="noConversion"/>
  </si>
  <si>
    <t>■ 중앙분리대 차광망 설치</t>
    <phoneticPr fontId="2" type="noConversion"/>
  </si>
  <si>
    <t>m</t>
    <phoneticPr fontId="2" type="noConversion"/>
  </si>
  <si>
    <t>차광망설치</t>
    <phoneticPr fontId="2" type="noConversion"/>
  </si>
  <si>
    <t>차광망</t>
    <phoneticPr fontId="2" type="noConversion"/>
  </si>
  <si>
    <t>경간</t>
    <phoneticPr fontId="2" type="noConversion"/>
  </si>
  <si>
    <t>지주</t>
    <phoneticPr fontId="2" type="noConversion"/>
  </si>
  <si>
    <t>개</t>
    <phoneticPr fontId="2" type="noConversion"/>
  </si>
  <si>
    <t>584*3680</t>
    <phoneticPr fontId="2" type="noConversion"/>
  </si>
  <si>
    <t>∮50.8*590</t>
    <phoneticPr fontId="2" type="noConversion"/>
  </si>
  <si>
    <t>1.6T*584*3680mm</t>
    <phoneticPr fontId="2" type="noConversion"/>
  </si>
  <si>
    <t>도로관리처 구조물안전팀</t>
    <phoneticPr fontId="2" type="noConversion"/>
  </si>
  <si>
    <t>2018년도</t>
    <phoneticPr fontId="2" type="noConversion"/>
  </si>
  <si>
    <t>기술 5급   조  윤  철  (인)</t>
    <phoneticPr fontId="2" type="noConversion"/>
  </si>
  <si>
    <t>팀     장   김  성  수  (인)</t>
    <phoneticPr fontId="2" type="noConversion"/>
  </si>
  <si>
    <t xml:space="preserve"> </t>
    <phoneticPr fontId="2" type="noConversion"/>
  </si>
  <si>
    <t>연결볼트</t>
    <phoneticPr fontId="2" type="noConversion"/>
  </si>
  <si>
    <t>■. 중앙분리대 차광망 설치</t>
    <phoneticPr fontId="2" type="noConversion"/>
  </si>
  <si>
    <t>1.6t*584*3680</t>
    <phoneticPr fontId="2" type="noConversion"/>
  </si>
  <si>
    <t>m</t>
    <phoneticPr fontId="2" type="noConversion"/>
  </si>
  <si>
    <t>∮50.8*590</t>
    <phoneticPr fontId="2" type="noConversion"/>
  </si>
  <si>
    <t>∮10*25</t>
    <phoneticPr fontId="2" type="noConversion"/>
  </si>
  <si>
    <t>∮10*25</t>
    <phoneticPr fontId="2" type="noConversion"/>
  </si>
  <si>
    <t>1.6t*584*3680</t>
    <phoneticPr fontId="2" type="noConversion"/>
  </si>
  <si>
    <t>현장교통정리</t>
    <phoneticPr fontId="2" type="noConversion"/>
  </si>
  <si>
    <t>2018년 포장설계기준</t>
    <phoneticPr fontId="2" type="noConversion"/>
  </si>
  <si>
    <t xml:space="preserve"> </t>
    <phoneticPr fontId="2" type="noConversion"/>
  </si>
  <si>
    <t>아연도강판</t>
    <phoneticPr fontId="2" type="noConversion"/>
  </si>
  <si>
    <t>#26(0.5t)</t>
    <phoneticPr fontId="2" type="noConversion"/>
  </si>
  <si>
    <t>㎡</t>
    <phoneticPr fontId="2" type="noConversion"/>
  </si>
  <si>
    <t>잡철물제작설치</t>
    <phoneticPr fontId="2" type="noConversion"/>
  </si>
  <si>
    <t>kg</t>
    <phoneticPr fontId="2" type="noConversion"/>
  </si>
  <si>
    <t>아세틸렌</t>
    <phoneticPr fontId="2" type="noConversion"/>
  </si>
  <si>
    <t>용접봉</t>
    <phoneticPr fontId="2" type="noConversion"/>
  </si>
  <si>
    <t>산소</t>
    <phoneticPr fontId="2" type="noConversion"/>
  </si>
  <si>
    <t>아연도강판</t>
    <phoneticPr fontId="2" type="noConversion"/>
  </si>
  <si>
    <t>레일연결볼트</t>
    <phoneticPr fontId="2" type="noConversion"/>
  </si>
  <si>
    <t>M16*33</t>
    <phoneticPr fontId="2" type="noConversion"/>
  </si>
  <si>
    <t>㎡</t>
    <phoneticPr fontId="2" type="noConversion"/>
  </si>
  <si>
    <t>개</t>
    <phoneticPr fontId="2" type="noConversion"/>
  </si>
  <si>
    <t>kg</t>
    <phoneticPr fontId="2" type="noConversion"/>
  </si>
  <si>
    <t>연강용, ∮3.2</t>
    <phoneticPr fontId="2" type="noConversion"/>
  </si>
  <si>
    <t>산소가스</t>
    <phoneticPr fontId="2" type="noConversion"/>
  </si>
  <si>
    <t>#26, 0.5t</t>
    <phoneticPr fontId="2" type="noConversion"/>
  </si>
  <si>
    <t>일</t>
    <phoneticPr fontId="2" type="noConversion"/>
  </si>
  <si>
    <t>하</t>
    <phoneticPr fontId="2" type="noConversion"/>
  </si>
  <si>
    <t>I</t>
    <phoneticPr fontId="2" type="noConversion"/>
  </si>
  <si>
    <t>지주고정볼트</t>
    <phoneticPr fontId="2" type="noConversion"/>
  </si>
  <si>
    <t>스텐,M12*40</t>
    <phoneticPr fontId="2" type="noConversion"/>
  </si>
  <si>
    <t>I</t>
    <phoneticPr fontId="2" type="noConversion"/>
  </si>
  <si>
    <t>스텐         M12*40</t>
    <phoneticPr fontId="2" type="noConversion"/>
  </si>
  <si>
    <t>kg</t>
    <phoneticPr fontId="2" type="noConversion"/>
  </si>
  <si>
    <t>델리네이트설치</t>
    <phoneticPr fontId="2" type="noConversion"/>
  </si>
  <si>
    <t>옹벽용</t>
    <phoneticPr fontId="2" type="noConversion"/>
  </si>
  <si>
    <t>188+140</t>
    <phoneticPr fontId="2" type="noConversion"/>
  </si>
  <si>
    <t>328/4</t>
    <phoneticPr fontId="2" type="noConversion"/>
  </si>
  <si>
    <t>47+36</t>
    <phoneticPr fontId="2" type="noConversion"/>
  </si>
  <si>
    <t>83*8</t>
    <phoneticPr fontId="2" type="noConversion"/>
  </si>
  <si>
    <t>83*4</t>
    <phoneticPr fontId="2" type="noConversion"/>
  </si>
  <si>
    <t>(0.33*0.35)*83</t>
    <phoneticPr fontId="2" type="noConversion"/>
  </si>
  <si>
    <t>(0.33+0.33)*83</t>
    <phoneticPr fontId="2" type="noConversion"/>
  </si>
  <si>
    <t xml:space="preserve">신천좌안도로 가창우체국 앞 외 1개소 차광망 설치공사 </t>
    <phoneticPr fontId="2" type="noConversion"/>
  </si>
  <si>
    <t>(2*8)*4</t>
    <phoneticPr fontId="2" type="noConversion"/>
  </si>
  <si>
    <t>2*4</t>
    <phoneticPr fontId="2" type="noConversion"/>
  </si>
  <si>
    <t>스텐, M12*40</t>
    <phoneticPr fontId="2" type="noConversion"/>
  </si>
  <si>
    <t>차광망 설치 : 328m</t>
    <phoneticPr fontId="2" type="noConversion"/>
  </si>
  <si>
    <t>차광망(1.6t*584*3680) : 82경간</t>
    <phoneticPr fontId="2" type="noConversion"/>
  </si>
  <si>
    <t>지주(∮50.8*590) : 83개</t>
    <phoneticPr fontId="2" type="noConversion"/>
  </si>
  <si>
    <t>[(330*530*5*7.85)*83]/10^6</t>
    <phoneticPr fontId="2" type="noConversion"/>
  </si>
  <si>
    <t>강판벤딩가공</t>
    <phoneticPr fontId="2" type="noConversion"/>
  </si>
  <si>
    <t>강판벤딩가공</t>
    <phoneticPr fontId="2" type="noConversion"/>
  </si>
  <si>
    <t>반사지</t>
    <phoneticPr fontId="2" type="noConversion"/>
  </si>
  <si>
    <t>(0.15*0.2)*(47+36+470)</t>
    <phoneticPr fontId="2" type="noConversion"/>
  </si>
  <si>
    <t>고휘도</t>
    <phoneticPr fontId="2" type="noConversion"/>
  </si>
  <si>
    <t>반사지</t>
    <phoneticPr fontId="2" type="noConversion"/>
  </si>
  <si>
    <t>고휘도</t>
    <phoneticPr fontId="2" type="noConversion"/>
  </si>
  <si>
    <t>반사지</t>
    <phoneticPr fontId="2" type="noConversion"/>
  </si>
  <si>
    <t xml:space="preserve"> </t>
    <phoneticPr fontId="2" type="noConversion"/>
  </si>
  <si>
    <t>2018년  9월</t>
    <phoneticPr fontId="2" type="noConversion"/>
  </si>
  <si>
    <t xml:space="preserve">  설계 내역서 </t>
    <phoneticPr fontId="2" type="noConversion"/>
  </si>
  <si>
    <t xml:space="preserve"> 83개 : 신규          470개 : 기존</t>
    <phoneticPr fontId="2" type="noConversion"/>
  </si>
  <si>
    <t>* 신천좌안로 : 47개(신규 post) + 470개(기존 post)</t>
    <phoneticPr fontId="2" type="noConversion"/>
  </si>
  <si>
    <t>* 봉무동 방촌교 진입로 : 36개(신규 post)</t>
    <phoneticPr fontId="2" type="noConversion"/>
  </si>
</sst>
</file>

<file path=xl/styles.xml><?xml version="1.0" encoding="utf-8"?>
<styleSheet xmlns="http://schemas.openxmlformats.org/spreadsheetml/2006/main">
  <numFmts count="4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.000"/>
    <numFmt numFmtId="178" formatCode="#,##0_);[Red]\(#,##0\)"/>
    <numFmt numFmtId="179" formatCode="&quot;P&quot;###0"/>
    <numFmt numFmtId="180" formatCode="&quot;제&quot;#,##0&quot;호표&quot;"/>
    <numFmt numFmtId="181" formatCode="_ * #,##0.00_ ;_ * \-#,##0.00_ ;_ * &quot;-&quot;??_ ;_ @_ 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(\5\)*0.0%"/>
    <numFmt numFmtId="185" formatCode="\(\5\)\x0.0%"/>
    <numFmt numFmtId="186" formatCode="\5\x00%"/>
    <numFmt numFmtId="187" formatCode="\5\x0.0%"/>
    <numFmt numFmtId="188" formatCode="_-&quot;₩&quot;* #,##0.00_-;\!\-&quot;₩&quot;* #,##0.00_-;_-&quot;₩&quot;* &quot;-&quot;??_-;_-@_-"/>
    <numFmt numFmtId="189" formatCode="&quot;금&quot;@&quot;원정&quot;"/>
    <numFmt numFmtId="190" formatCode="&quot;일금&quot;@&quot;원&quot;"/>
    <numFmt numFmtId="191" formatCode="&quot;금&quot;#,##0&quot;원&quot;"/>
    <numFmt numFmtId="192" formatCode="&quot;공사명 : &quot;@&quot; 손괴 가로등주 교체 공사&quot;"/>
    <numFmt numFmtId="193" formatCode="#,##0_ "/>
    <numFmt numFmtId="194" formatCode="&quot;물가정보&quot;#,##0&quot;월&quot;"/>
    <numFmt numFmtId="195" formatCode="&quot;물가자료&quot;#,##0&quot;월&quot;"/>
    <numFmt numFmtId="196" formatCode="&quot;품의&quot;#,##0&quot;%&quot;"/>
    <numFmt numFmtId="197" formatCode="&quot;공  사  명 : &quot;@"/>
    <numFmt numFmtId="198" formatCode="_ * #,##0.00_ ;_ * &quot;₩&quot;&quot;₩&quot;&quot;₩&quot;&quot;₩&quot;&quot;₩&quot;&quot;₩&quot;&quot;₩&quot;\-#,##0.00_ ;_ * &quot;-&quot;??_ ;_ @_ "/>
    <numFmt numFmtId="199" formatCode="&quot;₩&quot;#,##0;[Red]&quot;₩&quot;&quot;₩&quot;&quot;₩&quot;&quot;₩&quot;&quot;₩&quot;&quot;₩&quot;&quot;₩&quot;&quot;₩&quot;\-#,##0"/>
    <numFmt numFmtId="200" formatCode="#,##0.00;[Red]&quot;-&quot;#,##0.00"/>
    <numFmt numFmtId="201" formatCode="&quot;$&quot;#,##0.00_);\(&quot;$&quot;#,##0.00\)"/>
    <numFmt numFmtId="202" formatCode="_-* #&quot;₩&quot;\!\!\,##0_-;&quot;₩&quot;&quot;₩&quot;\!\!\-* #&quot;₩&quot;\!\!\,##0_-;_-* &quot;-&quot;_-;_-@_-"/>
    <numFmt numFmtId="203" formatCode="&quot;1) &quot;@"/>
    <numFmt numFmtId="204" formatCode="&quot;2) &quot;@"/>
    <numFmt numFmtId="205" formatCode="&quot;3) &quot;@"/>
    <numFmt numFmtId="206" formatCode="&quot;2013년&quot;\ \ \ General&quot;월    일&quot;"/>
    <numFmt numFmtId="207" formatCode="#,##0.00&quot;%&quot;"/>
    <numFmt numFmtId="208" formatCode="&quot;공사명 : &quot;@"/>
    <numFmt numFmtId="209" formatCode="&quot;~ &quot;yyyy&quot;년&quot;\ mm&quot;월&quot;\ dd&quot;일&quot;"/>
    <numFmt numFmtId="210" formatCode="&quot;× &quot;#,##0"/>
    <numFmt numFmtId="211" formatCode="&quot;× &quot;#,##0.0000000"/>
    <numFmt numFmtId="212" formatCode="#,##0.0&quot;ℓ&quot;"/>
    <numFmt numFmtId="213" formatCode="&quot;× &quot;#,##0.000"/>
    <numFmt numFmtId="214" formatCode="&quot;= &quot;#,##0&quot;￦/Hr&quot;"/>
    <numFmt numFmtId="215" formatCode="&quot;기계&quot;00"/>
    <numFmt numFmtId="216" formatCode="00/00"/>
    <numFmt numFmtId="217" formatCode="&quot;2017년&quot;\ \ \ General&quot;월    일&quot;"/>
    <numFmt numFmtId="218" formatCode="#,##0.0"/>
  </numFmts>
  <fonts count="8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2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1"/>
      <name val="돋움"/>
      <family val="3"/>
      <charset val="129"/>
    </font>
    <font>
      <sz val="11"/>
      <name val="굴림체"/>
      <family val="3"/>
      <charset val="129"/>
    </font>
    <font>
      <sz val="12"/>
      <name val="±¼¸²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24"/>
      <name val="굴림"/>
      <family val="3"/>
      <charset val="129"/>
    </font>
    <font>
      <sz val="12"/>
      <name val="바탕"/>
      <family val="1"/>
      <charset val="129"/>
    </font>
    <font>
      <b/>
      <sz val="18"/>
      <name val="굴림"/>
      <family val="3"/>
      <charset val="129"/>
    </font>
    <font>
      <b/>
      <sz val="16"/>
      <name val="굴림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20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9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8"/>
      <name val="바탕체"/>
      <family val="1"/>
      <charset val="129"/>
    </font>
    <font>
      <sz val="12"/>
      <color indexed="8"/>
      <name val="굴림"/>
      <family val="3"/>
      <charset val="129"/>
    </font>
    <font>
      <sz val="8"/>
      <name val="굴림"/>
      <family val="3"/>
      <charset val="129"/>
    </font>
    <font>
      <b/>
      <sz val="20"/>
      <name val="굴림"/>
      <family val="3"/>
      <charset val="129"/>
    </font>
    <font>
      <b/>
      <sz val="11"/>
      <name val="굴림"/>
      <family val="3"/>
      <charset val="129"/>
    </font>
    <font>
      <sz val="11"/>
      <name val="돋움체"/>
      <family val="3"/>
      <charset val="129"/>
    </font>
    <font>
      <sz val="11"/>
      <color indexed="8"/>
      <name val="굴림"/>
      <family val="3"/>
      <charset val="129"/>
    </font>
    <font>
      <b/>
      <sz val="12"/>
      <name val="굴림체"/>
      <family val="3"/>
      <charset val="129"/>
    </font>
    <font>
      <b/>
      <sz val="12"/>
      <color indexed="10"/>
      <name val="굴림"/>
      <family val="3"/>
      <charset val="129"/>
    </font>
    <font>
      <sz val="14"/>
      <color indexed="8"/>
      <name val="굴림"/>
      <family val="3"/>
      <charset val="129"/>
    </font>
    <font>
      <b/>
      <u/>
      <sz val="14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u/>
      <sz val="20"/>
      <color indexed="8"/>
      <name val="굴림"/>
      <family val="3"/>
      <charset val="129"/>
    </font>
    <font>
      <b/>
      <sz val="28"/>
      <name val="굴림"/>
      <family val="3"/>
      <charset val="129"/>
    </font>
    <font>
      <sz val="8"/>
      <color indexed="8"/>
      <name val="굴림"/>
      <family val="3"/>
      <charset val="129"/>
    </font>
    <font>
      <sz val="10"/>
      <name val="돋움"/>
      <family val="3"/>
      <charset val="129"/>
    </font>
    <font>
      <sz val="10"/>
      <name val="바탕체"/>
      <family val="1"/>
      <charset val="129"/>
    </font>
    <font>
      <sz val="13"/>
      <name val="돋움체"/>
      <family val="3"/>
      <charset val="129"/>
    </font>
    <font>
      <sz val="12"/>
      <name val="돋움체"/>
      <family val="3"/>
      <charset val="129"/>
    </font>
    <font>
      <sz val="10"/>
      <name val="굴림체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뼻뮝"/>
      <family val="3"/>
      <charset val="129"/>
    </font>
    <font>
      <i/>
      <sz val="1"/>
      <color indexed="8"/>
      <name val="Courier"/>
      <family val="3"/>
    </font>
    <font>
      <sz val="12"/>
      <name val="Helv"/>
      <family val="2"/>
    </font>
    <font>
      <b/>
      <sz val="10"/>
      <name val="굴림"/>
      <family val="3"/>
      <charset val="129"/>
    </font>
    <font>
      <b/>
      <sz val="28"/>
      <color indexed="10"/>
      <name val="굴림"/>
      <family val="3"/>
      <charset val="129"/>
    </font>
    <font>
      <b/>
      <u/>
      <sz val="14"/>
      <color indexed="10"/>
      <name val="굴림"/>
      <family val="3"/>
      <charset val="129"/>
    </font>
    <font>
      <b/>
      <sz val="14"/>
      <name val="굴림"/>
      <family val="3"/>
      <charset val="129"/>
    </font>
    <font>
      <b/>
      <sz val="10"/>
      <name val="굴림체"/>
      <family val="3"/>
      <charset val="129"/>
    </font>
    <font>
      <sz val="26"/>
      <name val="돋움"/>
      <family val="3"/>
      <charset val="129"/>
    </font>
    <font>
      <sz val="12"/>
      <color theme="1"/>
      <name val="굴림"/>
      <family val="3"/>
      <charset val="129"/>
    </font>
    <font>
      <sz val="12"/>
      <color theme="0"/>
      <name val="돋움"/>
      <family val="3"/>
      <charset val="129"/>
    </font>
    <font>
      <b/>
      <sz val="12"/>
      <color theme="0"/>
      <name val="돋움"/>
      <family val="3"/>
      <charset val="129"/>
    </font>
    <font>
      <sz val="9"/>
      <color theme="0"/>
      <name val="굴림"/>
      <family val="3"/>
      <charset val="129"/>
    </font>
    <font>
      <sz val="6"/>
      <color theme="0"/>
      <name val="돋움"/>
      <family val="3"/>
      <charset val="129"/>
    </font>
    <font>
      <b/>
      <sz val="6"/>
      <color theme="0"/>
      <name val="돋움"/>
      <family val="3"/>
      <charset val="129"/>
    </font>
    <font>
      <sz val="10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sz val="12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0"/>
      <color theme="0"/>
      <name val="굴림"/>
      <family val="3"/>
      <charset val="129"/>
    </font>
    <font>
      <b/>
      <sz val="10"/>
      <color rgb="FFFF0000"/>
      <name val="굴림체"/>
      <family val="3"/>
      <charset val="129"/>
    </font>
    <font>
      <sz val="11"/>
      <color theme="0"/>
      <name val="돋움"/>
      <family val="3"/>
      <charset val="129"/>
    </font>
    <font>
      <sz val="12"/>
      <color theme="0"/>
      <name val="굴림체"/>
      <family val="3"/>
      <charset val="129"/>
    </font>
    <font>
      <b/>
      <sz val="16"/>
      <name val="돋움"/>
      <family val="3"/>
      <charset val="129"/>
    </font>
    <font>
      <sz val="12"/>
      <color rgb="FFFF0000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10"/>
      <name val="돋움"/>
      <family val="3"/>
      <charset val="129"/>
    </font>
    <font>
      <sz val="20"/>
      <color indexed="8"/>
      <name val="굴림"/>
      <family val="3"/>
      <charset val="129"/>
    </font>
    <font>
      <b/>
      <sz val="19"/>
      <name val="굴림"/>
      <family val="3"/>
      <charset val="129"/>
    </font>
    <font>
      <b/>
      <u/>
      <sz val="28"/>
      <name val="굴림"/>
      <family val="3"/>
      <charset val="129"/>
    </font>
    <font>
      <sz val="9"/>
      <name val="돋움"/>
      <family val="3"/>
      <charset val="129"/>
    </font>
    <font>
      <sz val="9"/>
      <name val="굴림체"/>
      <family val="3"/>
      <charset val="129"/>
    </font>
    <font>
      <b/>
      <u/>
      <sz val="18"/>
      <color indexed="8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gradientFill degree="27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>
      <alignment vertical="center"/>
    </xf>
    <xf numFmtId="0" fontId="46" fillId="0" borderId="0"/>
    <xf numFmtId="176" fontId="48" fillId="0" borderId="0" applyFont="0" applyFill="0" applyBorder="0" applyAlignment="0" applyProtection="0"/>
    <xf numFmtId="0" fontId="4" fillId="0" borderId="0"/>
    <xf numFmtId="0" fontId="1" fillId="0" borderId="0"/>
    <xf numFmtId="198" fontId="4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9" fillId="0" borderId="0"/>
    <xf numFmtId="0" fontId="10" fillId="0" borderId="0"/>
    <xf numFmtId="176" fontId="47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8" fillId="0" borderId="0"/>
    <xf numFmtId="0" fontId="9" fillId="0" borderId="0"/>
    <xf numFmtId="176" fontId="10" fillId="0" borderId="0" applyFont="0" applyFill="0" applyBorder="0" applyAlignment="0" applyProtection="0"/>
    <xf numFmtId="187" fontId="1" fillId="0" borderId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1" fillId="0" borderId="0"/>
    <xf numFmtId="184" fontId="1" fillId="0" borderId="0"/>
    <xf numFmtId="0" fontId="51" fillId="0" borderId="0">
      <protection locked="0"/>
    </xf>
    <xf numFmtId="0" fontId="51" fillId="0" borderId="0">
      <protection locked="0"/>
    </xf>
    <xf numFmtId="0" fontId="55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5" fillId="0" borderId="0">
      <protection locked="0"/>
    </xf>
    <xf numFmtId="176" fontId="4" fillId="0" borderId="0" applyFont="0" applyFill="0" applyBorder="0" applyAlignment="0" applyProtection="0"/>
    <xf numFmtId="38" fontId="11" fillId="2" borderId="0" applyNumberFormat="0" applyBorder="0" applyAlignment="0" applyProtection="0"/>
    <xf numFmtId="0" fontId="12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1" fillId="2" borderId="3" applyNumberFormat="0" applyBorder="0" applyAlignment="0" applyProtection="0"/>
    <xf numFmtId="176" fontId="4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4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14" fillId="0" borderId="0"/>
    <xf numFmtId="0" fontId="15" fillId="0" borderId="0" applyFill="0" applyBorder="0" applyProtection="0">
      <alignment horizontal="centerContinuous" vertical="center"/>
    </xf>
    <xf numFmtId="0" fontId="16" fillId="2" borderId="0" applyFill="0" applyBorder="0" applyProtection="0">
      <alignment horizontal="center" vertical="center"/>
    </xf>
    <xf numFmtId="0" fontId="29" fillId="0" borderId="5">
      <alignment horizontal="left"/>
    </xf>
    <xf numFmtId="199" fontId="10" fillId="0" borderId="0" applyFont="0" applyFill="0" applyBorder="0" applyAlignment="0" applyProtection="0"/>
    <xf numFmtId="183" fontId="1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200" fontId="4" fillId="0" borderId="0"/>
    <xf numFmtId="200" fontId="4" fillId="0" borderId="0"/>
    <xf numFmtId="200" fontId="4" fillId="0" borderId="0"/>
    <xf numFmtId="200" fontId="4" fillId="0" borderId="0"/>
    <xf numFmtId="200" fontId="4" fillId="0" borderId="0"/>
    <xf numFmtId="200" fontId="4" fillId="0" borderId="0"/>
    <xf numFmtId="200" fontId="4" fillId="0" borderId="0"/>
    <xf numFmtId="200" fontId="4" fillId="0" borderId="0"/>
    <xf numFmtId="200" fontId="4" fillId="0" borderId="0"/>
    <xf numFmtId="200" fontId="4" fillId="0" borderId="0"/>
    <xf numFmtId="200" fontId="4" fillId="0" borderId="0"/>
    <xf numFmtId="0" fontId="51" fillId="0" borderId="0">
      <protection locked="0"/>
    </xf>
    <xf numFmtId="0" fontId="51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7" fillId="2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9" fontId="18" fillId="0" borderId="0" applyFont="0" applyFill="0" applyBorder="0" applyAlignment="0" applyProtection="0"/>
    <xf numFmtId="0" fontId="54" fillId="0" borderId="0"/>
    <xf numFmtId="181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201" fontId="1" fillId="0" borderId="0" applyFont="0" applyFill="0" applyBorder="0" applyAlignment="0" applyProtection="0"/>
    <xf numFmtId="4" fontId="51" fillId="0" borderId="0">
      <protection locked="0"/>
    </xf>
    <xf numFmtId="193" fontId="1" fillId="0" borderId="0">
      <protection locked="0"/>
    </xf>
    <xf numFmtId="202" fontId="1" fillId="0" borderId="0" applyFont="0" applyFill="0" applyBorder="0" applyAlignment="0" applyProtection="0"/>
    <xf numFmtId="188" fontId="4" fillId="2" borderId="0" applyFill="0" applyBorder="0" applyProtection="0">
      <alignment horizontal="right"/>
    </xf>
    <xf numFmtId="0" fontId="4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4" fillId="0" borderId="0">
      <protection locked="0"/>
    </xf>
    <xf numFmtId="0" fontId="1" fillId="0" borderId="0"/>
    <xf numFmtId="0" fontId="18" fillId="0" borderId="0"/>
    <xf numFmtId="0" fontId="10" fillId="0" borderId="0">
      <alignment vertical="center"/>
    </xf>
    <xf numFmtId="0" fontId="63" fillId="0" borderId="0">
      <alignment vertical="center"/>
    </xf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51" fillId="0" borderId="6">
      <protection locked="0"/>
    </xf>
    <xf numFmtId="0" fontId="4" fillId="0" borderId="0">
      <protection locked="0"/>
    </xf>
    <xf numFmtId="193" fontId="1" fillId="0" borderId="0">
      <protection locked="0"/>
    </xf>
  </cellStyleXfs>
  <cellXfs count="502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3" fontId="25" fillId="0" borderId="0" xfId="101" applyNumberFormat="1" applyFont="1" applyAlignment="1">
      <alignment horizontal="right" vertical="center"/>
    </xf>
    <xf numFmtId="3" fontId="26" fillId="4" borderId="3" xfId="101" applyNumberFormat="1" applyFont="1" applyFill="1" applyBorder="1" applyAlignment="1">
      <alignment horizontal="center" vertical="center"/>
    </xf>
    <xf numFmtId="3" fontId="25" fillId="0" borderId="0" xfId="101" applyNumberFormat="1" applyFont="1" applyAlignment="1">
      <alignment horizontal="center" vertical="center"/>
    </xf>
    <xf numFmtId="3" fontId="25" fillId="0" borderId="3" xfId="101" applyNumberFormat="1" applyFont="1" applyBorder="1" applyAlignment="1">
      <alignment horizontal="center" vertical="center"/>
    </xf>
    <xf numFmtId="3" fontId="25" fillId="0" borderId="3" xfId="101" applyNumberFormat="1" applyFont="1" applyBorder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108" applyFont="1">
      <alignment vertical="center"/>
    </xf>
    <xf numFmtId="0" fontId="22" fillId="0" borderId="0" xfId="108" applyFont="1" applyAlignment="1">
      <alignment horizontal="center" vertical="center"/>
    </xf>
    <xf numFmtId="0" fontId="22" fillId="0" borderId="3" xfId="108" applyFont="1" applyBorder="1">
      <alignment vertical="center"/>
    </xf>
    <xf numFmtId="0" fontId="22" fillId="0" borderId="3" xfId="108" applyFont="1" applyBorder="1" applyAlignment="1">
      <alignment horizontal="center" vertical="center"/>
    </xf>
    <xf numFmtId="3" fontId="22" fillId="0" borderId="3" xfId="105" applyNumberFormat="1" applyFont="1" applyBorder="1" applyAlignment="1">
      <alignment vertical="center"/>
    </xf>
    <xf numFmtId="3" fontId="22" fillId="0" borderId="3" xfId="86" applyNumberFormat="1" applyFont="1" applyBorder="1" applyAlignment="1">
      <alignment vertical="center"/>
    </xf>
    <xf numFmtId="3" fontId="21" fillId="0" borderId="3" xfId="105" applyNumberFormat="1" applyFont="1" applyBorder="1" applyAlignment="1">
      <alignment vertical="center"/>
    </xf>
    <xf numFmtId="3" fontId="21" fillId="0" borderId="3" xfId="86" applyNumberFormat="1" applyFont="1" applyBorder="1" applyAlignment="1">
      <alignment vertical="center"/>
    </xf>
    <xf numFmtId="0" fontId="26" fillId="0" borderId="0" xfId="0" applyFont="1">
      <alignment vertical="center"/>
    </xf>
    <xf numFmtId="0" fontId="28" fillId="3" borderId="3" xfId="105" quotePrefix="1" applyNumberFormat="1" applyFont="1" applyFill="1" applyBorder="1" applyAlignment="1">
      <alignment horizontal="center" vertical="center" wrapText="1"/>
    </xf>
    <xf numFmtId="0" fontId="28" fillId="3" borderId="3" xfId="105" applyNumberFormat="1" applyFont="1" applyFill="1" applyBorder="1" applyAlignment="1">
      <alignment horizontal="center" vertical="center" wrapText="1"/>
    </xf>
    <xf numFmtId="0" fontId="27" fillId="0" borderId="0" xfId="108" applyFont="1" applyAlignment="1">
      <alignment horizontal="center" vertical="center"/>
    </xf>
    <xf numFmtId="0" fontId="22" fillId="0" borderId="0" xfId="108" applyFont="1" applyAlignment="1">
      <alignment horizontal="right" vertical="center"/>
    </xf>
    <xf numFmtId="0" fontId="22" fillId="0" borderId="3" xfId="108" applyFont="1" applyBorder="1" applyAlignment="1">
      <alignment horizontal="right" vertical="center"/>
    </xf>
    <xf numFmtId="180" fontId="27" fillId="0" borderId="3" xfId="108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0" fontId="31" fillId="0" borderId="3" xfId="105" applyNumberFormat="1" applyFont="1" applyBorder="1" applyAlignment="1">
      <alignment horizontal="center" vertical="center"/>
    </xf>
    <xf numFmtId="3" fontId="23" fillId="0" borderId="3" xfId="105" applyNumberFormat="1" applyFont="1" applyBorder="1" applyAlignment="1">
      <alignment vertical="center"/>
    </xf>
    <xf numFmtId="3" fontId="23" fillId="0" borderId="3" xfId="86" applyNumberFormat="1" applyFont="1" applyBorder="1" applyAlignment="1">
      <alignment vertical="center"/>
    </xf>
    <xf numFmtId="3" fontId="23" fillId="0" borderId="3" xfId="105" applyNumberFormat="1" applyFont="1" applyBorder="1" applyAlignment="1">
      <alignment horizontal="right" vertical="center"/>
    </xf>
    <xf numFmtId="3" fontId="22" fillId="0" borderId="3" xfId="105" applyNumberFormat="1" applyFont="1" applyBorder="1" applyAlignment="1">
      <alignment horizontal="right" vertical="center"/>
    </xf>
    <xf numFmtId="180" fontId="31" fillId="0" borderId="3" xfId="108" applyNumberFormat="1" applyFont="1" applyBorder="1" applyAlignment="1">
      <alignment horizontal="center" vertical="center"/>
    </xf>
    <xf numFmtId="0" fontId="23" fillId="0" borderId="0" xfId="87" applyFont="1" applyAlignment="1">
      <alignment vertical="center"/>
    </xf>
    <xf numFmtId="178" fontId="33" fillId="2" borderId="7" xfId="87" applyNumberFormat="1" applyFont="1" applyFill="1" applyBorder="1" applyAlignment="1">
      <alignment vertical="center"/>
    </xf>
    <xf numFmtId="0" fontId="23" fillId="0" borderId="8" xfId="87" applyFont="1" applyBorder="1" applyAlignment="1">
      <alignment vertical="center"/>
    </xf>
    <xf numFmtId="0" fontId="23" fillId="2" borderId="9" xfId="87" quotePrefix="1" applyFont="1" applyFill="1" applyBorder="1" applyAlignment="1">
      <alignment vertical="center"/>
    </xf>
    <xf numFmtId="0" fontId="33" fillId="2" borderId="10" xfId="87" applyFont="1" applyFill="1" applyBorder="1" applyAlignment="1">
      <alignment horizontal="left" vertical="center"/>
    </xf>
    <xf numFmtId="178" fontId="23" fillId="0" borderId="0" xfId="87" applyNumberFormat="1" applyFont="1" applyAlignment="1">
      <alignment vertical="center"/>
    </xf>
    <xf numFmtId="178" fontId="33" fillId="0" borderId="11" xfId="87" applyNumberFormat="1" applyFont="1" applyFill="1" applyBorder="1" applyAlignment="1">
      <alignment vertical="center"/>
    </xf>
    <xf numFmtId="0" fontId="23" fillId="0" borderId="12" xfId="87" applyFont="1" applyFill="1" applyBorder="1" applyAlignment="1">
      <alignment vertical="center"/>
    </xf>
    <xf numFmtId="0" fontId="23" fillId="0" borderId="13" xfId="87" quotePrefix="1" applyFont="1" applyFill="1" applyBorder="1" applyAlignment="1">
      <alignment horizontal="left" vertical="center"/>
    </xf>
    <xf numFmtId="0" fontId="33" fillId="0" borderId="14" xfId="87" applyFont="1" applyFill="1" applyBorder="1" applyAlignment="1">
      <alignment horizontal="left" vertical="center"/>
    </xf>
    <xf numFmtId="0" fontId="23" fillId="0" borderId="12" xfId="87" applyFont="1" applyFill="1" applyBorder="1" applyAlignment="1">
      <alignment horizontal="center" vertical="center"/>
    </xf>
    <xf numFmtId="0" fontId="23" fillId="0" borderId="13" xfId="87" quotePrefix="1" applyFont="1" applyFill="1" applyBorder="1" applyAlignment="1">
      <alignment horizontal="center" vertical="center"/>
    </xf>
    <xf numFmtId="178" fontId="33" fillId="0" borderId="15" xfId="87" applyNumberFormat="1" applyFont="1" applyFill="1" applyBorder="1" applyAlignment="1">
      <alignment vertical="center"/>
    </xf>
    <xf numFmtId="0" fontId="23" fillId="0" borderId="16" xfId="87" applyFont="1" applyFill="1" applyBorder="1" applyAlignment="1">
      <alignment vertical="center"/>
    </xf>
    <xf numFmtId="0" fontId="23" fillId="0" borderId="17" xfId="87" quotePrefix="1" applyFont="1" applyFill="1" applyBorder="1" applyAlignment="1">
      <alignment horizontal="left" vertical="center"/>
    </xf>
    <xf numFmtId="0" fontId="33" fillId="0" borderId="18" xfId="87" quotePrefix="1" applyFont="1" applyFill="1" applyBorder="1" applyAlignment="1">
      <alignment horizontal="left" vertical="center"/>
    </xf>
    <xf numFmtId="178" fontId="33" fillId="0" borderId="15" xfId="87" applyNumberFormat="1" applyFont="1" applyBorder="1" applyAlignment="1">
      <alignment vertical="center"/>
    </xf>
    <xf numFmtId="9" fontId="23" fillId="0" borderId="16" xfId="87" applyNumberFormat="1" applyFont="1" applyBorder="1" applyAlignment="1">
      <alignment vertical="center"/>
    </xf>
    <xf numFmtId="0" fontId="23" fillId="0" borderId="16" xfId="87" applyFont="1" applyBorder="1" applyAlignment="1">
      <alignment vertical="center"/>
    </xf>
    <xf numFmtId="10" fontId="23" fillId="0" borderId="16" xfId="87" applyNumberFormat="1" applyFont="1" applyFill="1" applyBorder="1" applyAlignment="1">
      <alignment vertical="center"/>
    </xf>
    <xf numFmtId="0" fontId="35" fillId="0" borderId="0" xfId="87" applyFont="1" applyAlignment="1">
      <alignment vertical="center"/>
    </xf>
    <xf numFmtId="0" fontId="23" fillId="0" borderId="17" xfId="87" applyFont="1" applyFill="1" applyBorder="1" applyAlignment="1">
      <alignment horizontal="left" vertical="center"/>
    </xf>
    <xf numFmtId="178" fontId="23" fillId="0" borderId="15" xfId="87" applyNumberFormat="1" applyFont="1" applyFill="1" applyBorder="1" applyAlignment="1">
      <alignment vertical="center"/>
    </xf>
    <xf numFmtId="0" fontId="23" fillId="0" borderId="18" xfId="87" quotePrefix="1" applyFont="1" applyFill="1" applyBorder="1" applyAlignment="1">
      <alignment horizontal="left" vertical="center"/>
    </xf>
    <xf numFmtId="0" fontId="23" fillId="0" borderId="18" xfId="87" applyFont="1" applyFill="1" applyBorder="1" applyAlignment="1">
      <alignment horizontal="left" vertical="center"/>
    </xf>
    <xf numFmtId="0" fontId="23" fillId="0" borderId="17" xfId="87" applyFont="1" applyFill="1" applyBorder="1" applyAlignment="1">
      <alignment vertical="center"/>
    </xf>
    <xf numFmtId="0" fontId="31" fillId="0" borderId="17" xfId="87" applyFont="1" applyFill="1" applyBorder="1" applyAlignment="1">
      <alignment horizontal="left" vertical="center"/>
    </xf>
    <xf numFmtId="0" fontId="33" fillId="0" borderId="18" xfId="87" applyFont="1" applyFill="1" applyBorder="1" applyAlignment="1">
      <alignment horizontal="left" vertical="center"/>
    </xf>
    <xf numFmtId="0" fontId="23" fillId="0" borderId="18" xfId="87" quotePrefix="1" applyNumberFormat="1" applyFont="1" applyFill="1" applyBorder="1" applyAlignment="1">
      <alignment horizontal="left" vertical="center"/>
    </xf>
    <xf numFmtId="0" fontId="33" fillId="5" borderId="15" xfId="87" applyFont="1" applyFill="1" applyBorder="1" applyAlignment="1">
      <alignment horizontal="center" vertical="center"/>
    </xf>
    <xf numFmtId="0" fontId="23" fillId="5" borderId="19" xfId="87" applyFont="1" applyFill="1" applyBorder="1" applyAlignment="1">
      <alignment horizontal="centerContinuous" vertical="center"/>
    </xf>
    <xf numFmtId="0" fontId="33" fillId="5" borderId="20" xfId="87" applyFont="1" applyFill="1" applyBorder="1" applyAlignment="1">
      <alignment horizontal="centerContinuous" vertical="center"/>
    </xf>
    <xf numFmtId="0" fontId="33" fillId="5" borderId="18" xfId="87" applyFont="1" applyFill="1" applyBorder="1" applyAlignment="1">
      <alignment horizontal="center" vertical="center"/>
    </xf>
    <xf numFmtId="0" fontId="35" fillId="0" borderId="0" xfId="106" applyFont="1"/>
    <xf numFmtId="0" fontId="0" fillId="0" borderId="0" xfId="84" applyNumberFormat="1" applyFont="1">
      <alignment vertical="center"/>
    </xf>
    <xf numFmtId="0" fontId="30" fillId="0" borderId="0" xfId="106" applyFont="1" applyAlignment="1">
      <alignment vertical="center"/>
    </xf>
    <xf numFmtId="0" fontId="30" fillId="0" borderId="21" xfId="106" applyFont="1" applyBorder="1" applyAlignment="1">
      <alignment vertical="center"/>
    </xf>
    <xf numFmtId="0" fontId="30" fillId="0" borderId="4" xfId="106" applyFont="1" applyBorder="1" applyAlignment="1">
      <alignment vertical="center"/>
    </xf>
    <xf numFmtId="0" fontId="30" fillId="0" borderId="4" xfId="106" applyFont="1" applyBorder="1" applyAlignment="1">
      <alignment horizontal="left" vertical="center"/>
    </xf>
    <xf numFmtId="0" fontId="30" fillId="0" borderId="22" xfId="106" applyFont="1" applyBorder="1" applyAlignment="1">
      <alignment vertical="center"/>
    </xf>
    <xf numFmtId="0" fontId="30" fillId="0" borderId="23" xfId="106" applyFont="1" applyBorder="1" applyAlignment="1">
      <alignment vertical="center"/>
    </xf>
    <xf numFmtId="0" fontId="30" fillId="0" borderId="0" xfId="106" applyFont="1" applyBorder="1" applyAlignment="1">
      <alignment vertical="center"/>
    </xf>
    <xf numFmtId="190" fontId="37" fillId="0" borderId="0" xfId="106" applyNumberFormat="1" applyFont="1" applyBorder="1" applyAlignment="1">
      <alignment vertical="center"/>
    </xf>
    <xf numFmtId="0" fontId="30" fillId="0" borderId="0" xfId="106" applyFont="1" applyBorder="1" applyAlignment="1">
      <alignment horizontal="left" vertical="center"/>
    </xf>
    <xf numFmtId="0" fontId="30" fillId="0" borderId="24" xfId="106" applyFont="1" applyBorder="1" applyAlignment="1">
      <alignment vertical="center"/>
    </xf>
    <xf numFmtId="0" fontId="30" fillId="0" borderId="2" xfId="106" applyFont="1" applyBorder="1" applyAlignment="1">
      <alignment horizontal="left" vertical="center"/>
    </xf>
    <xf numFmtId="0" fontId="30" fillId="0" borderId="0" xfId="106" applyFont="1" applyBorder="1" applyAlignment="1">
      <alignment horizontal="center" vertical="center"/>
    </xf>
    <xf numFmtId="0" fontId="30" fillId="0" borderId="24" xfId="106" applyFont="1" applyBorder="1" applyAlignment="1">
      <alignment horizontal="center" vertical="center"/>
    </xf>
    <xf numFmtId="0" fontId="38" fillId="0" borderId="0" xfId="106" applyFont="1" applyBorder="1" applyAlignment="1">
      <alignment horizontal="center" vertical="center"/>
    </xf>
    <xf numFmtId="0" fontId="39" fillId="0" borderId="0" xfId="106" applyFont="1" applyBorder="1" applyAlignment="1">
      <alignment horizontal="left" vertical="center"/>
    </xf>
    <xf numFmtId="0" fontId="38" fillId="0" borderId="0" xfId="106" applyFont="1" applyBorder="1" applyAlignment="1">
      <alignment vertical="center"/>
    </xf>
    <xf numFmtId="0" fontId="38" fillId="0" borderId="25" xfId="106" applyFont="1" applyBorder="1" applyAlignment="1">
      <alignment vertical="center"/>
    </xf>
    <xf numFmtId="0" fontId="30" fillId="0" borderId="26" xfId="106" applyFont="1" applyBorder="1" applyAlignment="1">
      <alignment vertical="center"/>
    </xf>
    <xf numFmtId="31" fontId="30" fillId="0" borderId="27" xfId="106" applyNumberFormat="1" applyFont="1" applyBorder="1" applyAlignment="1">
      <alignment horizontal="center" vertical="center"/>
    </xf>
    <xf numFmtId="0" fontId="30" fillId="0" borderId="28" xfId="106" applyFont="1" applyBorder="1" applyAlignment="1">
      <alignment vertical="center"/>
    </xf>
    <xf numFmtId="0" fontId="30" fillId="0" borderId="27" xfId="106" applyFont="1" applyBorder="1" applyAlignment="1">
      <alignment horizontal="center" vertical="center"/>
    </xf>
    <xf numFmtId="0" fontId="30" fillId="0" borderId="29" xfId="106" applyFont="1" applyBorder="1" applyAlignment="1">
      <alignment horizontal="center" vertical="center"/>
    </xf>
    <xf numFmtId="3" fontId="23" fillId="0" borderId="0" xfId="0" applyNumberFormat="1" applyFont="1">
      <alignment vertical="center"/>
    </xf>
    <xf numFmtId="3" fontId="23" fillId="0" borderId="30" xfId="0" applyNumberFormat="1" applyFont="1" applyBorder="1">
      <alignment vertical="center"/>
    </xf>
    <xf numFmtId="3" fontId="23" fillId="0" borderId="25" xfId="0" applyNumberFormat="1" applyFont="1" applyBorder="1">
      <alignment vertical="center"/>
    </xf>
    <xf numFmtId="3" fontId="23" fillId="0" borderId="31" xfId="0" applyNumberFormat="1" applyFont="1" applyBorder="1">
      <alignment vertical="center"/>
    </xf>
    <xf numFmtId="3" fontId="23" fillId="0" borderId="32" xfId="0" applyNumberFormat="1" applyFont="1" applyBorder="1">
      <alignment vertical="center"/>
    </xf>
    <xf numFmtId="3" fontId="20" fillId="0" borderId="0" xfId="0" applyNumberFormat="1" applyFont="1" applyBorder="1" applyAlignment="1">
      <alignment vertical="center"/>
    </xf>
    <xf numFmtId="3" fontId="23" fillId="0" borderId="0" xfId="0" applyNumberFormat="1" applyFont="1" applyBorder="1">
      <alignment vertical="center"/>
    </xf>
    <xf numFmtId="3" fontId="23" fillId="0" borderId="33" xfId="0" applyNumberFormat="1" applyFont="1" applyBorder="1">
      <alignment vertical="center"/>
    </xf>
    <xf numFmtId="3" fontId="23" fillId="0" borderId="34" xfId="0" applyNumberFormat="1" applyFont="1" applyBorder="1">
      <alignment vertical="center"/>
    </xf>
    <xf numFmtId="3" fontId="23" fillId="0" borderId="6" xfId="0" applyNumberFormat="1" applyFont="1" applyBorder="1">
      <alignment vertical="center"/>
    </xf>
    <xf numFmtId="3" fontId="23" fillId="0" borderId="35" xfId="0" applyNumberFormat="1" applyFont="1" applyBorder="1">
      <alignment vertical="center"/>
    </xf>
    <xf numFmtId="3" fontId="25" fillId="0" borderId="3" xfId="101" applyNumberFormat="1" applyFont="1" applyBorder="1" applyAlignment="1">
      <alignment horizontal="distributed" vertical="center" indent="1"/>
    </xf>
    <xf numFmtId="0" fontId="22" fillId="0" borderId="0" xfId="108" applyFont="1" applyAlignment="1">
      <alignment horizontal="distributed"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180" fontId="66" fillId="0" borderId="3" xfId="108" applyNumberFormat="1" applyFont="1" applyBorder="1" applyAlignment="1">
      <alignment horizontal="center" vertical="center"/>
    </xf>
    <xf numFmtId="0" fontId="28" fillId="3" borderId="17" xfId="105" applyNumberFormat="1" applyFont="1" applyFill="1" applyBorder="1" applyAlignment="1">
      <alignment horizontal="centerContinuous" vertical="center" wrapText="1"/>
    </xf>
    <xf numFmtId="0" fontId="28" fillId="3" borderId="16" xfId="105" applyNumberFormat="1" applyFont="1" applyFill="1" applyBorder="1" applyAlignment="1">
      <alignment horizontal="centerContinuous" vertical="center" wrapText="1"/>
    </xf>
    <xf numFmtId="0" fontId="28" fillId="3" borderId="16" xfId="105" quotePrefix="1" applyNumberFormat="1" applyFont="1" applyFill="1" applyBorder="1" applyAlignment="1">
      <alignment horizontal="centerContinuous" vertical="center" wrapText="1"/>
    </xf>
    <xf numFmtId="176" fontId="28" fillId="3" borderId="17" xfId="105" quotePrefix="1" applyNumberFormat="1" applyFont="1" applyFill="1" applyBorder="1" applyAlignment="1">
      <alignment horizontal="centerContinuous" vertical="center" wrapText="1"/>
    </xf>
    <xf numFmtId="176" fontId="28" fillId="3" borderId="16" xfId="105" quotePrefix="1" applyNumberFormat="1" applyFont="1" applyFill="1" applyBorder="1" applyAlignment="1">
      <alignment horizontal="centerContinuous" vertical="center" wrapText="1"/>
    </xf>
    <xf numFmtId="3" fontId="22" fillId="0" borderId="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3" fontId="45" fillId="0" borderId="3" xfId="101" applyNumberFormat="1" applyFont="1" applyBorder="1" applyAlignment="1">
      <alignment horizontal="center" vertical="center"/>
    </xf>
    <xf numFmtId="3" fontId="45" fillId="0" borderId="3" xfId="101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49" fontId="22" fillId="0" borderId="37" xfId="0" applyNumberFormat="1" applyFont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3" fontId="21" fillId="6" borderId="3" xfId="0" applyNumberFormat="1" applyFont="1" applyFill="1" applyBorder="1" applyAlignment="1">
      <alignment horizontal="center" vertical="center"/>
    </xf>
    <xf numFmtId="177" fontId="21" fillId="6" borderId="3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distributed" vertical="center" indent="1"/>
    </xf>
    <xf numFmtId="0" fontId="22" fillId="0" borderId="3" xfId="0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179" fontId="22" fillId="0" borderId="3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0" fontId="23" fillId="0" borderId="3" xfId="0" applyFont="1" applyBorder="1" applyAlignment="1">
      <alignment horizontal="distributed" vertical="center" indent="1"/>
    </xf>
    <xf numFmtId="3" fontId="25" fillId="0" borderId="0" xfId="101" applyNumberFormat="1" applyFont="1" applyBorder="1" applyAlignment="1">
      <alignment horizontal="distributed" vertical="center" indent="1"/>
    </xf>
    <xf numFmtId="3" fontId="45" fillId="0" borderId="0" xfId="101" applyNumberFormat="1" applyFont="1" applyBorder="1" applyAlignment="1">
      <alignment horizontal="center" vertical="center"/>
    </xf>
    <xf numFmtId="3" fontId="25" fillId="0" borderId="0" xfId="101" applyNumberFormat="1" applyFont="1" applyBorder="1" applyAlignment="1">
      <alignment horizontal="right" vertical="center"/>
    </xf>
    <xf numFmtId="3" fontId="25" fillId="0" borderId="0" xfId="101" applyNumberFormat="1" applyFont="1" applyBorder="1" applyAlignment="1">
      <alignment horizontal="center" vertical="center"/>
    </xf>
    <xf numFmtId="179" fontId="25" fillId="0" borderId="0" xfId="101" applyNumberFormat="1" applyFont="1" applyBorder="1" applyAlignment="1">
      <alignment horizontal="right" vertical="center" wrapText="1"/>
    </xf>
    <xf numFmtId="179" fontId="25" fillId="0" borderId="0" xfId="101" applyNumberFormat="1" applyFont="1" applyBorder="1" applyAlignment="1">
      <alignment horizontal="right" vertical="center"/>
    </xf>
    <xf numFmtId="3" fontId="26" fillId="0" borderId="0" xfId="101" applyNumberFormat="1" applyFont="1" applyBorder="1" applyAlignment="1">
      <alignment horizontal="right" vertical="center"/>
    </xf>
    <xf numFmtId="189" fontId="30" fillId="0" borderId="36" xfId="106" applyNumberFormat="1" applyFont="1" applyBorder="1" applyAlignment="1">
      <alignment vertical="center"/>
    </xf>
    <xf numFmtId="0" fontId="21" fillId="3" borderId="3" xfId="105" quotePrefix="1" applyNumberFormat="1" applyFont="1" applyFill="1" applyBorder="1" applyAlignment="1">
      <alignment horizontal="center" vertical="center"/>
    </xf>
    <xf numFmtId="0" fontId="21" fillId="3" borderId="3" xfId="105" applyNumberFormat="1" applyFont="1" applyFill="1" applyBorder="1" applyAlignment="1">
      <alignment horizontal="center" vertical="center"/>
    </xf>
    <xf numFmtId="0" fontId="28" fillId="3" borderId="39" xfId="105" quotePrefix="1" applyNumberFormat="1" applyFont="1" applyFill="1" applyBorder="1" applyAlignment="1">
      <alignment horizontal="center" vertical="center" wrapText="1"/>
    </xf>
    <xf numFmtId="0" fontId="67" fillId="0" borderId="0" xfId="0" applyFont="1">
      <alignment vertical="center"/>
    </xf>
    <xf numFmtId="10" fontId="25" fillId="0" borderId="0" xfId="78" applyNumberFormat="1" applyFont="1">
      <alignment vertical="center"/>
    </xf>
    <xf numFmtId="0" fontId="68" fillId="0" borderId="0" xfId="0" applyFont="1">
      <alignment vertical="center"/>
    </xf>
    <xf numFmtId="3" fontId="35" fillId="0" borderId="3" xfId="105" quotePrefix="1" applyNumberFormat="1" applyFont="1" applyFill="1" applyBorder="1" applyAlignment="1">
      <alignment horizontal="right" vertical="center" wrapText="1"/>
    </xf>
    <xf numFmtId="0" fontId="44" fillId="0" borderId="39" xfId="105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3" fontId="69" fillId="0" borderId="40" xfId="105" quotePrefix="1" applyNumberFormat="1" applyFont="1" applyFill="1" applyBorder="1" applyAlignment="1">
      <alignment horizontal="right" vertical="center" wrapText="1"/>
    </xf>
    <xf numFmtId="3" fontId="70" fillId="0" borderId="40" xfId="86" applyNumberFormat="1" applyFont="1" applyBorder="1" applyAlignment="1">
      <alignment vertical="center"/>
    </xf>
    <xf numFmtId="3" fontId="70" fillId="0" borderId="40" xfId="105" applyNumberFormat="1" applyFont="1" applyBorder="1" applyAlignment="1">
      <alignment vertical="center"/>
    </xf>
    <xf numFmtId="0" fontId="44" fillId="0" borderId="40" xfId="105" applyNumberFormat="1" applyFont="1" applyFill="1" applyBorder="1" applyAlignment="1">
      <alignment horizontal="center" vertical="center" wrapText="1"/>
    </xf>
    <xf numFmtId="3" fontId="5" fillId="0" borderId="39" xfId="105" quotePrefix="1" applyNumberFormat="1" applyFont="1" applyFill="1" applyBorder="1" applyAlignment="1">
      <alignment horizontal="right" vertical="center" wrapText="1"/>
    </xf>
    <xf numFmtId="3" fontId="23" fillId="0" borderId="39" xfId="86" applyNumberFormat="1" applyFont="1" applyBorder="1" applyAlignment="1">
      <alignment vertical="center"/>
    </xf>
    <xf numFmtId="3" fontId="23" fillId="0" borderId="39" xfId="105" applyNumberFormat="1" applyFont="1" applyBorder="1" applyAlignment="1">
      <alignment vertical="center"/>
    </xf>
    <xf numFmtId="0" fontId="44" fillId="0" borderId="41" xfId="105" applyNumberFormat="1" applyFont="1" applyFill="1" applyBorder="1" applyAlignment="1">
      <alignment horizontal="center" vertical="center" wrapText="1"/>
    </xf>
    <xf numFmtId="3" fontId="3" fillId="0" borderId="3" xfId="86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3" fontId="22" fillId="0" borderId="0" xfId="105" applyNumberFormat="1" applyFont="1" applyBorder="1" applyAlignment="1">
      <alignment horizontal="right" vertical="center"/>
    </xf>
    <xf numFmtId="3" fontId="22" fillId="0" borderId="0" xfId="86" applyNumberFormat="1" applyFont="1" applyBorder="1" applyAlignment="1">
      <alignment vertical="center"/>
    </xf>
    <xf numFmtId="3" fontId="22" fillId="0" borderId="0" xfId="105" applyNumberFormat="1" applyFont="1" applyBorder="1" applyAlignment="1">
      <alignment vertical="center"/>
    </xf>
    <xf numFmtId="180" fontId="27" fillId="0" borderId="0" xfId="108" applyNumberFormat="1" applyFont="1" applyBorder="1" applyAlignment="1">
      <alignment horizontal="center" vertical="center"/>
    </xf>
    <xf numFmtId="4" fontId="69" fillId="0" borderId="40" xfId="105" quotePrefix="1" applyNumberFormat="1" applyFont="1" applyFill="1" applyBorder="1" applyAlignment="1">
      <alignment horizontal="right" vertical="center" wrapText="1"/>
    </xf>
    <xf numFmtId="4" fontId="5" fillId="0" borderId="39" xfId="105" quotePrefix="1" applyNumberFormat="1" applyFont="1" applyFill="1" applyBorder="1" applyAlignment="1">
      <alignment horizontal="right" vertical="center" wrapText="1"/>
    </xf>
    <xf numFmtId="0" fontId="25" fillId="0" borderId="42" xfId="0" applyFont="1" applyBorder="1">
      <alignment vertical="center"/>
    </xf>
    <xf numFmtId="3" fontId="70" fillId="0" borderId="43" xfId="86" applyNumberFormat="1" applyFont="1" applyBorder="1" applyAlignment="1">
      <alignment vertical="center"/>
    </xf>
    <xf numFmtId="3" fontId="23" fillId="0" borderId="43" xfId="86" applyNumberFormat="1" applyFont="1" applyBorder="1" applyAlignment="1">
      <alignment vertical="center"/>
    </xf>
    <xf numFmtId="3" fontId="69" fillId="0" borderId="40" xfId="108" applyNumberFormat="1" applyFont="1" applyBorder="1" applyAlignment="1">
      <alignment vertical="center"/>
    </xf>
    <xf numFmtId="3" fontId="3" fillId="0" borderId="39" xfId="108" applyNumberFormat="1" applyFont="1" applyBorder="1" applyAlignment="1">
      <alignment horizontal="right" vertical="center"/>
    </xf>
    <xf numFmtId="3" fontId="3" fillId="0" borderId="39" xfId="108" applyNumberFormat="1" applyFont="1" applyBorder="1" applyAlignment="1">
      <alignment vertical="center"/>
    </xf>
    <xf numFmtId="0" fontId="22" fillId="0" borderId="40" xfId="108" applyFont="1" applyBorder="1">
      <alignment vertical="center"/>
    </xf>
    <xf numFmtId="0" fontId="22" fillId="0" borderId="41" xfId="108" applyFont="1" applyBorder="1">
      <alignment vertical="center"/>
    </xf>
    <xf numFmtId="0" fontId="21" fillId="0" borderId="40" xfId="108" applyFont="1" applyBorder="1" applyAlignment="1">
      <alignment horizontal="distributed" vertical="center"/>
    </xf>
    <xf numFmtId="0" fontId="21" fillId="0" borderId="40" xfId="108" applyFont="1" applyBorder="1">
      <alignment vertical="center"/>
    </xf>
    <xf numFmtId="0" fontId="21" fillId="0" borderId="44" xfId="108" applyFont="1" applyBorder="1" applyAlignment="1">
      <alignment horizontal="right" vertical="center"/>
    </xf>
    <xf numFmtId="0" fontId="21" fillId="0" borderId="41" xfId="108" applyFont="1" applyBorder="1" applyAlignment="1">
      <alignment horizontal="distributed" vertical="center"/>
    </xf>
    <xf numFmtId="196" fontId="21" fillId="0" borderId="41" xfId="108" applyNumberFormat="1" applyFont="1" applyBorder="1" applyAlignment="1">
      <alignment vertical="center"/>
    </xf>
    <xf numFmtId="196" fontId="21" fillId="0" borderId="45" xfId="108" applyNumberFormat="1" applyFont="1" applyBorder="1" applyAlignment="1">
      <alignment vertical="center"/>
    </xf>
    <xf numFmtId="9" fontId="23" fillId="0" borderId="3" xfId="78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40" fillId="0" borderId="24" xfId="106" applyNumberFormat="1" applyFont="1" applyBorder="1" applyAlignment="1">
      <alignment horizontal="right" vertical="center"/>
    </xf>
    <xf numFmtId="3" fontId="40" fillId="0" borderId="0" xfId="106" applyNumberFormat="1" applyFont="1" applyBorder="1" applyAlignment="1">
      <alignment horizontal="right" vertical="center"/>
    </xf>
    <xf numFmtId="189" fontId="71" fillId="0" borderId="0" xfId="106" applyNumberFormat="1" applyFont="1" applyBorder="1" applyAlignment="1">
      <alignment vertical="center"/>
    </xf>
    <xf numFmtId="178" fontId="0" fillId="0" borderId="0" xfId="0" applyNumberFormat="1">
      <alignment vertical="center"/>
    </xf>
    <xf numFmtId="179" fontId="21" fillId="6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3" fillId="0" borderId="16" xfId="87" applyFont="1" applyFill="1" applyBorder="1" applyAlignment="1">
      <alignment horizontal="distributed" vertical="center" indent="1"/>
    </xf>
    <xf numFmtId="0" fontId="23" fillId="0" borderId="16" xfId="87" applyFont="1" applyFill="1" applyBorder="1" applyAlignment="1">
      <alignment horizontal="distributed" vertical="center" indent="1"/>
    </xf>
    <xf numFmtId="0" fontId="23" fillId="0" borderId="16" xfId="87" applyNumberFormat="1" applyFont="1" applyFill="1" applyBorder="1" applyAlignment="1">
      <alignment horizontal="distributed" vertical="center" indent="1"/>
    </xf>
    <xf numFmtId="0" fontId="33" fillId="5" borderId="46" xfId="87" applyFont="1" applyFill="1" applyBorder="1" applyAlignment="1">
      <alignment horizontal="centerContinuous" vertical="center"/>
    </xf>
    <xf numFmtId="0" fontId="23" fillId="5" borderId="47" xfId="87" applyFont="1" applyFill="1" applyBorder="1" applyAlignment="1">
      <alignment horizontal="centerContinuous" vertical="center"/>
    </xf>
    <xf numFmtId="0" fontId="33" fillId="5" borderId="48" xfId="87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23" fillId="0" borderId="0" xfId="87" applyNumberFormat="1" applyFont="1" applyAlignment="1">
      <alignment vertical="center"/>
    </xf>
    <xf numFmtId="0" fontId="33" fillId="7" borderId="51" xfId="87" applyFont="1" applyFill="1" applyBorder="1" applyAlignment="1">
      <alignment horizontal="centerContinuous" vertical="center"/>
    </xf>
    <xf numFmtId="0" fontId="23" fillId="7" borderId="51" xfId="87" applyFont="1" applyFill="1" applyBorder="1" applyAlignment="1">
      <alignment horizontal="centerContinuous" vertical="center"/>
    </xf>
    <xf numFmtId="0" fontId="33" fillId="7" borderId="52" xfId="87" applyFont="1" applyFill="1" applyBorder="1" applyAlignment="1">
      <alignment horizontal="center" vertical="center"/>
    </xf>
    <xf numFmtId="178" fontId="72" fillId="0" borderId="53" xfId="87" applyNumberFormat="1" applyFont="1" applyFill="1" applyBorder="1" applyAlignment="1">
      <alignment horizontal="right" vertical="center"/>
    </xf>
    <xf numFmtId="178" fontId="73" fillId="0" borderId="54" xfId="87" applyNumberFormat="1" applyFont="1" applyFill="1" applyBorder="1" applyAlignment="1">
      <alignment horizontal="right" vertical="center"/>
    </xf>
    <xf numFmtId="178" fontId="73" fillId="0" borderId="55" xfId="87" applyNumberFormat="1" applyFont="1" applyFill="1" applyBorder="1" applyAlignment="1">
      <alignment horizontal="right" vertical="center"/>
    </xf>
    <xf numFmtId="178" fontId="72" fillId="0" borderId="56" xfId="87" applyNumberFormat="1" applyFont="1" applyFill="1" applyBorder="1" applyAlignment="1">
      <alignment horizontal="right" vertical="center"/>
    </xf>
    <xf numFmtId="178" fontId="73" fillId="0" borderId="57" xfId="87" applyNumberFormat="1" applyFont="1" applyFill="1" applyBorder="1" applyAlignment="1">
      <alignment horizontal="right" vertical="center"/>
    </xf>
    <xf numFmtId="178" fontId="72" fillId="0" borderId="58" xfId="87" applyNumberFormat="1" applyFont="1" applyFill="1" applyBorder="1" applyAlignment="1">
      <alignment horizontal="right" vertical="center"/>
    </xf>
    <xf numFmtId="9" fontId="35" fillId="0" borderId="3" xfId="78" quotePrefix="1" applyFont="1" applyFill="1" applyBorder="1" applyAlignment="1">
      <alignment horizontal="right" vertical="center" wrapText="1"/>
    </xf>
    <xf numFmtId="9" fontId="69" fillId="0" borderId="40" xfId="78" quotePrefix="1" applyFont="1" applyFill="1" applyBorder="1" applyAlignment="1">
      <alignment horizontal="right" vertical="center" wrapText="1"/>
    </xf>
    <xf numFmtId="9" fontId="5" fillId="0" borderId="39" xfId="78" quotePrefix="1" applyFont="1" applyFill="1" applyBorder="1" applyAlignment="1">
      <alignment horizontal="right" vertical="center" wrapText="1"/>
    </xf>
    <xf numFmtId="4" fontId="74" fillId="0" borderId="40" xfId="105" applyNumberFormat="1" applyFont="1" applyFill="1" applyBorder="1" applyAlignment="1">
      <alignment horizontal="right" vertical="center" wrapText="1"/>
    </xf>
    <xf numFmtId="4" fontId="74" fillId="0" borderId="39" xfId="105" applyNumberFormat="1" applyFont="1" applyFill="1" applyBorder="1" applyAlignment="1">
      <alignment horizontal="right" vertical="center" wrapText="1"/>
    </xf>
    <xf numFmtId="41" fontId="0" fillId="0" borderId="0" xfId="84" applyFont="1">
      <alignment vertical="center"/>
    </xf>
    <xf numFmtId="0" fontId="31" fillId="0" borderId="3" xfId="0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25" fillId="0" borderId="0" xfId="84" applyFont="1">
      <alignment vertical="center"/>
    </xf>
    <xf numFmtId="0" fontId="0" fillId="0" borderId="0" xfId="0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3" xfId="0" applyFont="1" applyBorder="1">
      <alignment vertical="center"/>
    </xf>
    <xf numFmtId="3" fontId="16" fillId="0" borderId="3" xfId="84" applyNumberFormat="1" applyFont="1" applyBorder="1">
      <alignment vertical="center"/>
    </xf>
    <xf numFmtId="0" fontId="36" fillId="0" borderId="3" xfId="0" applyFont="1" applyBorder="1" applyAlignment="1">
      <alignment horizontal="distributed" vertical="center"/>
    </xf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Continuous" vertical="center"/>
    </xf>
    <xf numFmtId="3" fontId="16" fillId="0" borderId="3" xfId="0" applyNumberFormat="1" applyFont="1" applyBorder="1">
      <alignment vertical="center"/>
    </xf>
    <xf numFmtId="210" fontId="16" fillId="0" borderId="3" xfId="0" applyNumberFormat="1" applyFont="1" applyBorder="1">
      <alignment vertical="center"/>
    </xf>
    <xf numFmtId="3" fontId="16" fillId="0" borderId="3" xfId="84" applyNumberFormat="1" applyFont="1" applyBorder="1" applyAlignment="1">
      <alignment horizontal="right" vertical="center"/>
    </xf>
    <xf numFmtId="41" fontId="16" fillId="0" borderId="3" xfId="84" applyFont="1" applyBorder="1">
      <alignment vertical="center"/>
    </xf>
    <xf numFmtId="3" fontId="24" fillId="0" borderId="0" xfId="101" applyNumberFormat="1" applyFont="1" applyAlignment="1">
      <alignment horizontal="centerContinuous" vertical="center"/>
    </xf>
    <xf numFmtId="209" fontId="25" fillId="0" borderId="0" xfId="101" applyNumberFormat="1" applyFont="1" applyAlignment="1">
      <alignment horizontal="centerContinuous" vertical="center"/>
    </xf>
    <xf numFmtId="0" fontId="36" fillId="0" borderId="3" xfId="0" applyFont="1" applyFill="1" applyBorder="1" applyAlignment="1">
      <alignment horizontal="center" vertical="center"/>
    </xf>
    <xf numFmtId="214" fontId="16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0" xfId="0" applyAlignment="1">
      <alignment horizontal="distributed" vertical="center" indent="1"/>
    </xf>
    <xf numFmtId="0" fontId="36" fillId="0" borderId="3" xfId="0" applyFont="1" applyFill="1" applyBorder="1" applyAlignment="1">
      <alignment horizontal="distributed" vertical="center" indent="1"/>
    </xf>
    <xf numFmtId="0" fontId="16" fillId="0" borderId="3" xfId="0" applyFont="1" applyBorder="1" applyAlignment="1">
      <alignment horizontal="distributed" vertical="center" indent="1"/>
    </xf>
    <xf numFmtId="3" fontId="36" fillId="0" borderId="3" xfId="84" applyNumberFormat="1" applyFont="1" applyBorder="1" applyAlignment="1">
      <alignment horizontal="right" vertical="center"/>
    </xf>
    <xf numFmtId="3" fontId="36" fillId="0" borderId="3" xfId="84" applyNumberFormat="1" applyFont="1" applyBorder="1">
      <alignment vertical="center"/>
    </xf>
    <xf numFmtId="0" fontId="62" fillId="0" borderId="36" xfId="0" applyFont="1" applyBorder="1" applyAlignment="1">
      <alignment horizontal="centerContinuous" vertical="center"/>
    </xf>
    <xf numFmtId="3" fontId="16" fillId="0" borderId="17" xfId="0" applyNumberFormat="1" applyFont="1" applyBorder="1">
      <alignment vertical="center"/>
    </xf>
    <xf numFmtId="210" fontId="16" fillId="0" borderId="2" xfId="0" applyNumberFormat="1" applyFont="1" applyBorder="1">
      <alignment vertical="center"/>
    </xf>
    <xf numFmtId="211" fontId="16" fillId="0" borderId="2" xfId="0" applyNumberFormat="1" applyFont="1" applyBorder="1">
      <alignment vertical="center"/>
    </xf>
    <xf numFmtId="3" fontId="16" fillId="0" borderId="16" xfId="0" applyNumberFormat="1" applyFont="1" applyBorder="1">
      <alignment vertical="center"/>
    </xf>
    <xf numFmtId="212" fontId="16" fillId="0" borderId="17" xfId="0" applyNumberFormat="1" applyFont="1" applyBorder="1" applyAlignment="1">
      <alignment horizontal="center" vertical="center"/>
    </xf>
    <xf numFmtId="212" fontId="16" fillId="0" borderId="2" xfId="0" applyNumberFormat="1" applyFont="1" applyBorder="1">
      <alignment vertical="center"/>
    </xf>
    <xf numFmtId="3" fontId="16" fillId="0" borderId="17" xfId="0" applyNumberFormat="1" applyFont="1" applyBorder="1" applyAlignment="1">
      <alignment horizontal="center" vertical="center"/>
    </xf>
    <xf numFmtId="9" fontId="16" fillId="0" borderId="2" xfId="78" applyFont="1" applyBorder="1">
      <alignment vertical="center"/>
    </xf>
    <xf numFmtId="3" fontId="16" fillId="0" borderId="2" xfId="0" applyNumberFormat="1" applyFont="1" applyBorder="1">
      <alignment vertical="center"/>
    </xf>
    <xf numFmtId="3" fontId="36" fillId="0" borderId="17" xfId="0" applyNumberFormat="1" applyFont="1" applyBorder="1">
      <alignment vertical="center"/>
    </xf>
    <xf numFmtId="3" fontId="36" fillId="0" borderId="2" xfId="0" applyNumberFormat="1" applyFont="1" applyBorder="1">
      <alignment vertical="center"/>
    </xf>
    <xf numFmtId="3" fontId="36" fillId="0" borderId="16" xfId="0" applyNumberFormat="1" applyFont="1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>
      <alignment vertical="center"/>
    </xf>
    <xf numFmtId="49" fontId="36" fillId="7" borderId="3" xfId="0" applyNumberFormat="1" applyFont="1" applyFill="1" applyBorder="1" applyAlignment="1">
      <alignment horizontal="distributed" vertical="center"/>
    </xf>
    <xf numFmtId="0" fontId="21" fillId="6" borderId="3" xfId="0" applyFont="1" applyFill="1" applyBorder="1" applyAlignment="1">
      <alignment horizontal="left" vertical="center" indent="1"/>
    </xf>
    <xf numFmtId="0" fontId="22" fillId="0" borderId="3" xfId="0" applyFont="1" applyBorder="1" applyAlignment="1" applyProtection="1">
      <alignment horizontal="left" vertical="center" indent="1"/>
      <protection hidden="1"/>
    </xf>
    <xf numFmtId="0" fontId="22" fillId="0" borderId="3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indent="1"/>
    </xf>
    <xf numFmtId="215" fontId="31" fillId="0" borderId="3" xfId="105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213" fontId="16" fillId="0" borderId="3" xfId="0" applyNumberFormat="1" applyFont="1" applyBorder="1" applyAlignment="1">
      <alignment horizontal="center" vertical="center"/>
    </xf>
    <xf numFmtId="216" fontId="16" fillId="0" borderId="3" xfId="0" applyNumberFormat="1" applyFont="1" applyBorder="1">
      <alignment vertical="center"/>
    </xf>
    <xf numFmtId="177" fontId="16" fillId="0" borderId="3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right" vertical="center"/>
    </xf>
    <xf numFmtId="180" fontId="31" fillId="0" borderId="0" xfId="105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distributed" vertical="center" indent="3"/>
    </xf>
    <xf numFmtId="3" fontId="25" fillId="0" borderId="0" xfId="101" applyNumberFormat="1" applyFont="1" applyAlignment="1">
      <alignment horizontal="left" vertical="center" indent="1"/>
    </xf>
    <xf numFmtId="0" fontId="76" fillId="0" borderId="0" xfId="0" applyFont="1">
      <alignment vertical="center"/>
    </xf>
    <xf numFmtId="0" fontId="77" fillId="0" borderId="0" xfId="0" applyFo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Continuous" vertical="center"/>
    </xf>
    <xf numFmtId="0" fontId="0" fillId="0" borderId="3" xfId="0" applyBorder="1" applyAlignment="1">
      <alignment horizontal="distributed" vertical="center" indent="1"/>
    </xf>
    <xf numFmtId="3" fontId="0" fillId="0" borderId="3" xfId="0" applyNumberFormat="1" applyBorder="1">
      <alignment vertical="center"/>
    </xf>
    <xf numFmtId="0" fontId="22" fillId="0" borderId="3" xfId="0" applyFont="1" applyBorder="1">
      <alignment vertical="center"/>
    </xf>
    <xf numFmtId="0" fontId="79" fillId="0" borderId="0" xfId="0" applyFont="1">
      <alignment vertical="center"/>
    </xf>
    <xf numFmtId="0" fontId="80" fillId="0" borderId="0" xfId="0" applyFont="1">
      <alignment vertical="center"/>
    </xf>
    <xf numFmtId="180" fontId="79" fillId="0" borderId="0" xfId="0" applyNumberFormat="1" applyFont="1">
      <alignment vertical="center"/>
    </xf>
    <xf numFmtId="41" fontId="35" fillId="0" borderId="0" xfId="84" applyFont="1" applyAlignment="1">
      <alignment vertical="center"/>
    </xf>
    <xf numFmtId="4" fontId="57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 shrinkToFit="1"/>
    </xf>
    <xf numFmtId="0" fontId="21" fillId="0" borderId="3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0" fontId="57" fillId="0" borderId="3" xfId="0" applyFont="1" applyBorder="1" applyAlignment="1">
      <alignment horizontal="distributed" vertical="center"/>
    </xf>
    <xf numFmtId="4" fontId="33" fillId="0" borderId="3" xfId="105" applyNumberFormat="1" applyFont="1" applyBorder="1" applyAlignment="1">
      <alignment horizontal="right" vertical="center"/>
    </xf>
    <xf numFmtId="3" fontId="33" fillId="0" borderId="3" xfId="86" applyNumberFormat="1" applyFont="1" applyBorder="1" applyAlignment="1">
      <alignment vertical="center"/>
    </xf>
    <xf numFmtId="3" fontId="33" fillId="0" borderId="3" xfId="105" applyNumberFormat="1" applyFont="1" applyBorder="1" applyAlignment="1">
      <alignment horizontal="right" vertical="center"/>
    </xf>
    <xf numFmtId="193" fontId="23" fillId="0" borderId="15" xfId="87" applyNumberFormat="1" applyFont="1" applyFill="1" applyBorder="1" applyAlignment="1">
      <alignment vertical="center"/>
    </xf>
    <xf numFmtId="3" fontId="45" fillId="0" borderId="3" xfId="101" applyNumberFormat="1" applyFont="1" applyBorder="1" applyAlignment="1">
      <alignment horizontal="right" vertical="center"/>
    </xf>
    <xf numFmtId="3" fontId="45" fillId="0" borderId="17" xfId="101" applyNumberFormat="1" applyFont="1" applyBorder="1" applyAlignment="1">
      <alignment horizontal="right" vertical="center"/>
    </xf>
    <xf numFmtId="179" fontId="45" fillId="0" borderId="16" xfId="101" applyNumberFormat="1" applyFont="1" applyBorder="1" applyAlignment="1">
      <alignment horizontal="right" vertical="center" wrapText="1"/>
    </xf>
    <xf numFmtId="3" fontId="3" fillId="0" borderId="17" xfId="101" applyNumberFormat="1" applyFont="1" applyBorder="1" applyAlignment="1">
      <alignment horizontal="right" vertical="center"/>
    </xf>
    <xf numFmtId="179" fontId="45" fillId="0" borderId="16" xfId="101" applyNumberFormat="1" applyFont="1" applyBorder="1" applyAlignment="1">
      <alignment horizontal="right" vertical="center"/>
    </xf>
    <xf numFmtId="3" fontId="45" fillId="0" borderId="3" xfId="101" applyNumberFormat="1" applyFont="1" applyBorder="1" applyAlignment="1">
      <alignment horizontal="distributed" vertical="center" indent="1"/>
    </xf>
    <xf numFmtId="3" fontId="45" fillId="0" borderId="3" xfId="101" applyNumberFormat="1" applyFont="1" applyBorder="1" applyAlignment="1">
      <alignment horizontal="distributed" vertical="center" wrapText="1" indent="1"/>
    </xf>
    <xf numFmtId="3" fontId="81" fillId="0" borderId="3" xfId="101" applyNumberFormat="1" applyFont="1" applyBorder="1" applyAlignment="1">
      <alignment horizontal="right" vertical="center"/>
    </xf>
    <xf numFmtId="0" fontId="42" fillId="0" borderId="0" xfId="106" applyFont="1" applyBorder="1" applyAlignment="1">
      <alignment horizontal="left" vertical="center"/>
    </xf>
    <xf numFmtId="0" fontId="82" fillId="0" borderId="0" xfId="106" applyFont="1" applyBorder="1" applyAlignment="1">
      <alignment horizontal="center" vertical="center"/>
    </xf>
    <xf numFmtId="0" fontId="30" fillId="0" borderId="69" xfId="106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/>
    </xf>
    <xf numFmtId="3" fontId="27" fillId="0" borderId="3" xfId="0" applyNumberFormat="1" applyFont="1" applyBorder="1" applyAlignment="1">
      <alignment horizontal="center" vertical="center" wrapText="1" shrinkToFit="1"/>
    </xf>
    <xf numFmtId="3" fontId="27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/>
    </xf>
    <xf numFmtId="3" fontId="85" fillId="0" borderId="3" xfId="101" applyNumberFormat="1" applyFont="1" applyBorder="1" applyAlignment="1">
      <alignment horizontal="distributed" vertical="center" wrapText="1" indent="1"/>
    </xf>
    <xf numFmtId="3" fontId="85" fillId="0" borderId="3" xfId="101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3" fontId="23" fillId="0" borderId="3" xfId="86" applyNumberFormat="1" applyFont="1" applyBorder="1" applyAlignment="1">
      <alignment horizontal="right" vertical="center"/>
    </xf>
    <xf numFmtId="3" fontId="3" fillId="0" borderId="3" xfId="105" applyNumberFormat="1" applyFont="1" applyBorder="1" applyAlignment="1">
      <alignment horizontal="right" vertical="center"/>
    </xf>
    <xf numFmtId="0" fontId="27" fillId="0" borderId="3" xfId="0" applyFont="1" applyBorder="1" applyAlignment="1">
      <alignment horizontal="center" vertical="center" wrapText="1"/>
    </xf>
    <xf numFmtId="0" fontId="23" fillId="0" borderId="3" xfId="108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 applyProtection="1">
      <alignment horizontal="left" vertical="center" indent="1"/>
      <protection hidden="1"/>
    </xf>
    <xf numFmtId="3" fontId="23" fillId="0" borderId="3" xfId="0" applyNumberFormat="1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center" vertical="center"/>
    </xf>
    <xf numFmtId="0" fontId="3" fillId="0" borderId="0" xfId="108" applyFont="1" applyAlignment="1">
      <alignment horizontal="center" vertical="center"/>
    </xf>
    <xf numFmtId="0" fontId="86" fillId="0" borderId="3" xfId="0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vertical="center"/>
    </xf>
    <xf numFmtId="218" fontId="23" fillId="0" borderId="3" xfId="105" applyNumberFormat="1" applyFont="1" applyBorder="1" applyAlignment="1">
      <alignment horizontal="right" vertical="center"/>
    </xf>
    <xf numFmtId="3" fontId="45" fillId="0" borderId="17" xfId="101" applyNumberFormat="1" applyFont="1" applyBorder="1" applyAlignment="1">
      <alignment horizontal="center" vertical="center"/>
    </xf>
    <xf numFmtId="218" fontId="22" fillId="0" borderId="3" xfId="0" applyNumberFormat="1" applyFont="1" applyBorder="1" applyAlignment="1">
      <alignment horizontal="right" vertical="center"/>
    </xf>
    <xf numFmtId="3" fontId="26" fillId="4" borderId="3" xfId="101" applyNumberFormat="1" applyFont="1" applyFill="1" applyBorder="1" applyAlignment="1">
      <alignment horizontal="center" vertical="center"/>
    </xf>
    <xf numFmtId="31" fontId="25" fillId="0" borderId="0" xfId="101" applyNumberFormat="1" applyFont="1" applyAlignment="1">
      <alignment horizontal="right" vertical="center"/>
    </xf>
    <xf numFmtId="194" fontId="26" fillId="4" borderId="17" xfId="101" applyNumberFormat="1" applyFont="1" applyFill="1" applyBorder="1" applyAlignment="1">
      <alignment horizontal="center" vertical="center"/>
    </xf>
    <xf numFmtId="194" fontId="26" fillId="4" borderId="2" xfId="101" applyNumberFormat="1" applyFont="1" applyFill="1" applyBorder="1" applyAlignment="1">
      <alignment horizontal="center" vertical="center"/>
    </xf>
    <xf numFmtId="194" fontId="26" fillId="4" borderId="16" xfId="101" applyNumberFormat="1" applyFont="1" applyFill="1" applyBorder="1" applyAlignment="1">
      <alignment horizontal="center" vertical="center"/>
    </xf>
    <xf numFmtId="195" fontId="26" fillId="4" borderId="17" xfId="101" applyNumberFormat="1" applyFont="1" applyFill="1" applyBorder="1" applyAlignment="1">
      <alignment horizontal="center" vertical="center"/>
    </xf>
    <xf numFmtId="195" fontId="26" fillId="4" borderId="2" xfId="101" applyNumberFormat="1" applyFont="1" applyFill="1" applyBorder="1" applyAlignment="1">
      <alignment horizontal="center" vertical="center"/>
    </xf>
    <xf numFmtId="195" fontId="26" fillId="4" borderId="16" xfId="101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indent="1"/>
    </xf>
    <xf numFmtId="0" fontId="36" fillId="0" borderId="2" xfId="0" applyFont="1" applyBorder="1" applyAlignment="1">
      <alignment horizontal="left" vertical="center" indent="1"/>
    </xf>
    <xf numFmtId="0" fontId="36" fillId="0" borderId="16" xfId="0" applyFont="1" applyBorder="1" applyAlignment="1">
      <alignment horizontal="left" vertical="center" indent="1"/>
    </xf>
    <xf numFmtId="0" fontId="28" fillId="3" borderId="38" xfId="105" applyNumberFormat="1" applyFont="1" applyFill="1" applyBorder="1" applyAlignment="1">
      <alignment horizontal="center" vertical="center" wrapText="1"/>
    </xf>
    <xf numFmtId="0" fontId="28" fillId="3" borderId="39" xfId="105" quotePrefix="1" applyNumberFormat="1" applyFont="1" applyFill="1" applyBorder="1" applyAlignment="1">
      <alignment horizontal="center" vertical="center" wrapText="1"/>
    </xf>
    <xf numFmtId="0" fontId="21" fillId="3" borderId="3" xfId="105" quotePrefix="1" applyNumberFormat="1" applyFont="1" applyFill="1" applyBorder="1" applyAlignment="1">
      <alignment horizontal="center" vertical="center"/>
    </xf>
    <xf numFmtId="0" fontId="28" fillId="3" borderId="3" xfId="105" applyNumberFormat="1" applyFont="1" applyFill="1" applyBorder="1" applyAlignment="1">
      <alignment horizontal="center" vertical="center" wrapText="1"/>
    </xf>
    <xf numFmtId="0" fontId="28" fillId="3" borderId="3" xfId="105" quotePrefix="1" applyNumberFormat="1" applyFont="1" applyFill="1" applyBorder="1" applyAlignment="1">
      <alignment horizontal="center" vertical="center" wrapText="1"/>
    </xf>
    <xf numFmtId="197" fontId="19" fillId="0" borderId="0" xfId="108" applyNumberFormat="1" applyFont="1" applyAlignment="1">
      <alignment horizontal="left" vertical="center"/>
    </xf>
    <xf numFmtId="176" fontId="28" fillId="3" borderId="3" xfId="105" quotePrefix="1" applyNumberFormat="1" applyFont="1" applyFill="1" applyBorder="1" applyAlignment="1">
      <alignment horizontal="center" vertical="center" wrapText="1"/>
    </xf>
    <xf numFmtId="0" fontId="21" fillId="3" borderId="3" xfId="105" applyNumberFormat="1" applyFont="1" applyFill="1" applyBorder="1" applyAlignment="1">
      <alignment horizontal="center" vertical="center"/>
    </xf>
    <xf numFmtId="192" fontId="32" fillId="0" borderId="0" xfId="108" applyNumberFormat="1" applyFont="1" applyAlignment="1">
      <alignment horizontal="left" vertical="center"/>
    </xf>
    <xf numFmtId="0" fontId="33" fillId="0" borderId="2" xfId="87" applyFont="1" applyFill="1" applyBorder="1" applyAlignment="1">
      <alignment horizontal="distributed" vertical="center" indent="1"/>
    </xf>
    <xf numFmtId="0" fontId="33" fillId="0" borderId="16" xfId="87" applyFont="1" applyFill="1" applyBorder="1" applyAlignment="1">
      <alignment horizontal="distributed" vertical="center" indent="1"/>
    </xf>
    <xf numFmtId="0" fontId="17" fillId="0" borderId="59" xfId="87" applyFont="1" applyBorder="1" applyAlignment="1">
      <alignment horizontal="center" vertical="center"/>
    </xf>
    <xf numFmtId="0" fontId="17" fillId="0" borderId="60" xfId="87" applyFont="1" applyBorder="1" applyAlignment="1">
      <alignment horizontal="center" vertical="center"/>
    </xf>
    <xf numFmtId="0" fontId="17" fillId="0" borderId="61" xfId="87" applyFont="1" applyBorder="1" applyAlignment="1">
      <alignment horizontal="center" vertical="center"/>
    </xf>
    <xf numFmtId="197" fontId="21" fillId="0" borderId="24" xfId="107" applyNumberFormat="1" applyFont="1" applyBorder="1" applyAlignment="1">
      <alignment vertical="center"/>
    </xf>
    <xf numFmtId="197" fontId="21" fillId="0" borderId="0" xfId="107" applyNumberFormat="1" applyFont="1" applyBorder="1" applyAlignment="1">
      <alignment vertical="center"/>
    </xf>
    <xf numFmtId="197" fontId="21" fillId="0" borderId="23" xfId="107" applyNumberFormat="1" applyFont="1" applyBorder="1" applyAlignment="1">
      <alignment vertical="center"/>
    </xf>
    <xf numFmtId="0" fontId="21" fillId="0" borderId="62" xfId="88" applyFont="1" applyBorder="1" applyAlignment="1">
      <alignment horizontal="left" vertical="center"/>
    </xf>
    <xf numFmtId="0" fontId="21" fillId="0" borderId="36" xfId="88" applyFont="1" applyBorder="1" applyAlignment="1">
      <alignment horizontal="left" vertical="center"/>
    </xf>
    <xf numFmtId="0" fontId="21" fillId="0" borderId="63" xfId="88" applyFont="1" applyBorder="1" applyAlignment="1">
      <alignment horizontal="left" vertical="center"/>
    </xf>
    <xf numFmtId="197" fontId="21" fillId="0" borderId="24" xfId="107" applyNumberFormat="1" applyFont="1" applyBorder="1" applyAlignment="1">
      <alignment horizontal="left" vertical="center"/>
    </xf>
    <xf numFmtId="197" fontId="21" fillId="0" borderId="0" xfId="107" applyNumberFormat="1" applyFont="1" applyBorder="1" applyAlignment="1">
      <alignment horizontal="left" vertical="center"/>
    </xf>
    <xf numFmtId="197" fontId="21" fillId="0" borderId="23" xfId="107" applyNumberFormat="1" applyFont="1" applyBorder="1" applyAlignment="1">
      <alignment horizontal="left" vertical="center"/>
    </xf>
    <xf numFmtId="0" fontId="36" fillId="0" borderId="22" xfId="88" applyFont="1" applyBorder="1" applyAlignment="1">
      <alignment horizontal="left" vertical="center"/>
    </xf>
    <xf numFmtId="0" fontId="36" fillId="0" borderId="4" xfId="88" applyFont="1" applyBorder="1" applyAlignment="1">
      <alignment horizontal="left" vertical="center"/>
    </xf>
    <xf numFmtId="0" fontId="36" fillId="0" borderId="21" xfId="88" applyFont="1" applyBorder="1" applyAlignment="1">
      <alignment horizontal="left" vertical="center"/>
    </xf>
    <xf numFmtId="0" fontId="33" fillId="5" borderId="29" xfId="87" applyFont="1" applyFill="1" applyBorder="1" applyAlignment="1">
      <alignment horizontal="center" vertical="center"/>
    </xf>
    <xf numFmtId="0" fontId="33" fillId="5" borderId="27" xfId="87" applyFont="1" applyFill="1" applyBorder="1" applyAlignment="1">
      <alignment horizontal="center" vertical="center"/>
    </xf>
    <xf numFmtId="0" fontId="33" fillId="0" borderId="2" xfId="87" applyFont="1" applyFill="1" applyBorder="1" applyAlignment="1">
      <alignment horizontal="center" vertical="center"/>
    </xf>
    <xf numFmtId="0" fontId="33" fillId="0" borderId="16" xfId="87" applyFont="1" applyFill="1" applyBorder="1" applyAlignment="1">
      <alignment horizontal="center" vertical="center"/>
    </xf>
    <xf numFmtId="0" fontId="33" fillId="2" borderId="64" xfId="87" applyFont="1" applyFill="1" applyBorder="1" applyAlignment="1">
      <alignment horizontal="distributed" vertical="center" indent="1"/>
    </xf>
    <xf numFmtId="0" fontId="33" fillId="2" borderId="8" xfId="87" applyFont="1" applyFill="1" applyBorder="1" applyAlignment="1">
      <alignment horizontal="distributed" vertical="center" indent="1"/>
    </xf>
    <xf numFmtId="191" fontId="30" fillId="0" borderId="69" xfId="106" applyNumberFormat="1" applyFont="1" applyBorder="1" applyAlignment="1">
      <alignment horizontal="left" vertical="center"/>
    </xf>
    <xf numFmtId="205" fontId="30" fillId="0" borderId="36" xfId="106" applyNumberFormat="1" applyFont="1" applyBorder="1" applyAlignment="1">
      <alignment horizontal="left" vertical="center"/>
    </xf>
    <xf numFmtId="205" fontId="30" fillId="0" borderId="63" xfId="106" applyNumberFormat="1" applyFont="1" applyBorder="1" applyAlignment="1">
      <alignment horizontal="left" vertical="center"/>
    </xf>
    <xf numFmtId="191" fontId="30" fillId="0" borderId="36" xfId="106" applyNumberFormat="1" applyFont="1" applyBorder="1" applyAlignment="1">
      <alignment horizontal="left" vertical="center"/>
    </xf>
    <xf numFmtId="3" fontId="87" fillId="0" borderId="24" xfId="106" applyNumberFormat="1" applyFont="1" applyBorder="1" applyAlignment="1">
      <alignment horizontal="right" vertical="center"/>
    </xf>
    <xf numFmtId="3" fontId="87" fillId="0" borderId="0" xfId="106" applyNumberFormat="1" applyFont="1" applyBorder="1" applyAlignment="1">
      <alignment horizontal="right" vertical="center"/>
    </xf>
    <xf numFmtId="0" fontId="41" fillId="0" borderId="0" xfId="106" applyFont="1" applyAlignment="1">
      <alignment horizontal="center" vertical="center"/>
    </xf>
    <xf numFmtId="0" fontId="30" fillId="0" borderId="27" xfId="106" applyFont="1" applyBorder="1" applyAlignment="1">
      <alignment horizontal="center" vertical="center"/>
    </xf>
    <xf numFmtId="217" fontId="30" fillId="0" borderId="27" xfId="106" applyNumberFormat="1" applyFont="1" applyBorder="1" applyAlignment="1">
      <alignment horizontal="center" vertical="center"/>
    </xf>
    <xf numFmtId="217" fontId="30" fillId="0" borderId="48" xfId="106" applyNumberFormat="1" applyFont="1" applyBorder="1" applyAlignment="1">
      <alignment horizontal="center" vertical="center"/>
    </xf>
    <xf numFmtId="191" fontId="30" fillId="0" borderId="2" xfId="106" applyNumberFormat="1" applyFont="1" applyBorder="1" applyAlignment="1">
      <alignment horizontal="left" vertical="center"/>
    </xf>
    <xf numFmtId="204" fontId="30" fillId="0" borderId="36" xfId="106" applyNumberFormat="1" applyFont="1" applyBorder="1" applyAlignment="1">
      <alignment horizontal="left" vertical="center"/>
    </xf>
    <xf numFmtId="204" fontId="30" fillId="0" borderId="63" xfId="106" applyNumberFormat="1" applyFont="1" applyBorder="1" applyAlignment="1">
      <alignment horizontal="left" vertical="center"/>
    </xf>
    <xf numFmtId="203" fontId="30" fillId="0" borderId="36" xfId="106" applyNumberFormat="1" applyFont="1" applyBorder="1" applyAlignment="1">
      <alignment horizontal="left" vertical="center"/>
    </xf>
    <xf numFmtId="203" fontId="30" fillId="0" borderId="63" xfId="106" applyNumberFormat="1" applyFont="1" applyBorder="1" applyAlignment="1">
      <alignment horizontal="left" vertical="center"/>
    </xf>
    <xf numFmtId="3" fontId="84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left" vertical="center"/>
    </xf>
    <xf numFmtId="3" fontId="83" fillId="0" borderId="32" xfId="0" applyNumberFormat="1" applyFont="1" applyBorder="1" applyAlignment="1">
      <alignment horizontal="left" vertical="center"/>
    </xf>
    <xf numFmtId="3" fontId="83" fillId="0" borderId="33" xfId="0" applyNumberFormat="1" applyFont="1" applyBorder="1" applyAlignment="1">
      <alignment horizontal="right" vertical="center"/>
    </xf>
    <xf numFmtId="3" fontId="83" fillId="0" borderId="0" xfId="0" applyNumberFormat="1" applyFont="1" applyBorder="1" applyAlignment="1">
      <alignment horizontal="right" vertical="center"/>
    </xf>
    <xf numFmtId="197" fontId="19" fillId="0" borderId="36" xfId="108" applyNumberFormat="1" applyFont="1" applyBorder="1" applyAlignment="1">
      <alignment horizontal="left" vertical="center"/>
    </xf>
    <xf numFmtId="192" fontId="32" fillId="0" borderId="36" xfId="108" applyNumberFormat="1" applyFont="1" applyBorder="1" applyAlignment="1">
      <alignment horizontal="left" vertical="center"/>
    </xf>
    <xf numFmtId="208" fontId="19" fillId="0" borderId="0" xfId="108" applyNumberFormat="1" applyFont="1" applyAlignment="1">
      <alignment horizontal="left" vertical="center"/>
    </xf>
    <xf numFmtId="208" fontId="19" fillId="0" borderId="36" xfId="108" applyNumberFormat="1" applyFont="1" applyBorder="1" applyAlignment="1">
      <alignment horizontal="left" vertical="center"/>
    </xf>
    <xf numFmtId="0" fontId="22" fillId="0" borderId="38" xfId="105" applyNumberFormat="1" applyFont="1" applyFill="1" applyBorder="1" applyAlignment="1">
      <alignment horizontal="distributed" vertical="center"/>
    </xf>
    <xf numFmtId="0" fontId="22" fillId="0" borderId="39" xfId="105" applyNumberFormat="1" applyFont="1" applyFill="1" applyBorder="1" applyAlignment="1">
      <alignment horizontal="distributed" vertical="center"/>
    </xf>
    <xf numFmtId="0" fontId="3" fillId="0" borderId="38" xfId="105" applyNumberFormat="1" applyFont="1" applyFill="1" applyBorder="1" applyAlignment="1">
      <alignment horizontal="center" vertical="center"/>
    </xf>
    <xf numFmtId="0" fontId="3" fillId="0" borderId="39" xfId="105" applyNumberFormat="1" applyFont="1" applyFill="1" applyBorder="1" applyAlignment="1">
      <alignment horizontal="center" vertical="center"/>
    </xf>
    <xf numFmtId="3" fontId="22" fillId="0" borderId="38" xfId="105" applyNumberFormat="1" applyFont="1" applyFill="1" applyBorder="1" applyAlignment="1">
      <alignment horizontal="center" vertical="center"/>
    </xf>
    <xf numFmtId="0" fontId="22" fillId="0" borderId="39" xfId="105" applyNumberFormat="1" applyFont="1" applyFill="1" applyBorder="1" applyAlignment="1">
      <alignment horizontal="center" vertical="center"/>
    </xf>
    <xf numFmtId="0" fontId="23" fillId="0" borderId="38" xfId="105" applyNumberFormat="1" applyFont="1" applyFill="1" applyBorder="1" applyAlignment="1">
      <alignment horizontal="distributed" vertical="center"/>
    </xf>
    <xf numFmtId="0" fontId="23" fillId="0" borderId="39" xfId="105" applyNumberFormat="1" applyFont="1" applyFill="1" applyBorder="1" applyAlignment="1">
      <alignment horizontal="distributed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39" xfId="0" applyBorder="1">
      <alignment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207" fontId="22" fillId="0" borderId="38" xfId="108" applyNumberFormat="1" applyFont="1" applyBorder="1" applyAlignment="1">
      <alignment horizontal="center" vertical="center"/>
    </xf>
    <xf numFmtId="207" fontId="22" fillId="0" borderId="39" xfId="108" applyNumberFormat="1" applyFont="1" applyBorder="1" applyAlignment="1">
      <alignment horizontal="center" vertical="center"/>
    </xf>
    <xf numFmtId="0" fontId="22" fillId="0" borderId="38" xfId="105" applyNumberFormat="1" applyFont="1" applyFill="1" applyBorder="1" applyAlignment="1">
      <alignment horizontal="center" vertical="center"/>
    </xf>
    <xf numFmtId="0" fontId="21" fillId="0" borderId="38" xfId="108" applyFont="1" applyBorder="1" applyAlignment="1">
      <alignment horizontal="center" vertical="center"/>
    </xf>
    <xf numFmtId="0" fontId="21" fillId="0" borderId="39" xfId="108" applyFont="1" applyBorder="1" applyAlignment="1">
      <alignment horizontal="center" vertical="center"/>
    </xf>
    <xf numFmtId="0" fontId="3" fillId="0" borderId="38" xfId="105" applyNumberFormat="1" applyFont="1" applyFill="1" applyBorder="1" applyAlignment="1">
      <alignment horizontal="center" vertical="center" wrapText="1"/>
    </xf>
    <xf numFmtId="0" fontId="3" fillId="0" borderId="39" xfId="105" applyNumberFormat="1" applyFont="1" applyFill="1" applyBorder="1" applyAlignment="1">
      <alignment horizontal="center" vertical="center" wrapText="1"/>
    </xf>
    <xf numFmtId="3" fontId="22" fillId="0" borderId="39" xfId="105" applyNumberFormat="1" applyFont="1" applyFill="1" applyBorder="1" applyAlignment="1">
      <alignment horizontal="center" vertical="center"/>
    </xf>
    <xf numFmtId="0" fontId="23" fillId="0" borderId="27" xfId="87" applyFont="1" applyBorder="1" applyAlignment="1">
      <alignment vertical="center"/>
    </xf>
    <xf numFmtId="0" fontId="23" fillId="0" borderId="65" xfId="87" applyFont="1" applyBorder="1" applyAlignment="1">
      <alignment vertical="center"/>
    </xf>
    <xf numFmtId="0" fontId="17" fillId="0" borderId="0" xfId="87" applyFont="1" applyBorder="1" applyAlignment="1">
      <alignment horizontal="center" vertical="center"/>
    </xf>
    <xf numFmtId="0" fontId="17" fillId="0" borderId="23" xfId="87" applyFont="1" applyBorder="1" applyAlignment="1">
      <alignment horizontal="center" vertical="center"/>
    </xf>
    <xf numFmtId="197" fontId="60" fillId="0" borderId="0" xfId="107" applyNumberFormat="1" applyFont="1" applyBorder="1" applyAlignment="1">
      <alignment horizontal="left" vertical="center"/>
    </xf>
    <xf numFmtId="197" fontId="60" fillId="0" borderId="23" xfId="107" applyNumberFormat="1" applyFont="1" applyBorder="1" applyAlignment="1">
      <alignment horizontal="left" vertical="center"/>
    </xf>
    <xf numFmtId="0" fontId="75" fillId="0" borderId="0" xfId="88" applyFont="1" applyBorder="1" applyAlignment="1">
      <alignment horizontal="left" vertical="center"/>
    </xf>
    <xf numFmtId="0" fontId="75" fillId="0" borderId="23" xfId="88" applyFont="1" applyBorder="1" applyAlignment="1">
      <alignment horizontal="left" vertical="center"/>
    </xf>
    <xf numFmtId="0" fontId="61" fillId="0" borderId="0" xfId="88" applyFont="1" applyBorder="1" applyAlignment="1">
      <alignment horizontal="left" vertical="center"/>
    </xf>
    <xf numFmtId="0" fontId="61" fillId="0" borderId="23" xfId="88" applyFont="1" applyBorder="1" applyAlignment="1">
      <alignment horizontal="left" vertical="center"/>
    </xf>
    <xf numFmtId="0" fontId="33" fillId="7" borderId="66" xfId="87" applyFont="1" applyFill="1" applyBorder="1" applyAlignment="1">
      <alignment horizontal="center" vertical="center"/>
    </xf>
    <xf numFmtId="0" fontId="33" fillId="7" borderId="51" xfId="87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0" fontId="23" fillId="0" borderId="3" xfId="87" applyNumberFormat="1" applyFont="1" applyFill="1" applyBorder="1" applyAlignment="1">
      <alignment vertical="center"/>
    </xf>
    <xf numFmtId="0" fontId="23" fillId="0" borderId="16" xfId="87" applyNumberFormat="1" applyFont="1" applyFill="1" applyBorder="1" applyAlignment="1">
      <alignment horizontal="distributed" vertical="center" indent="1"/>
    </xf>
    <xf numFmtId="0" fontId="23" fillId="0" borderId="16" xfId="87" quotePrefix="1" applyNumberFormat="1" applyFont="1" applyFill="1" applyBorder="1" applyAlignment="1">
      <alignment horizontal="distributed" vertical="center" indent="1"/>
    </xf>
    <xf numFmtId="0" fontId="23" fillId="0" borderId="3" xfId="87" applyFont="1" applyFill="1" applyBorder="1" applyAlignment="1">
      <alignment horizontal="center" vertical="center"/>
    </xf>
    <xf numFmtId="0" fontId="23" fillId="0" borderId="3" xfId="87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23" fillId="0" borderId="3" xfId="87" applyFont="1" applyFill="1" applyBorder="1" applyAlignment="1">
      <alignment horizontal="left" vertical="center" wrapText="1"/>
    </xf>
    <xf numFmtId="0" fontId="23" fillId="0" borderId="3" xfId="87" applyFont="1" applyFill="1" applyBorder="1" applyAlignment="1">
      <alignment horizontal="left" vertical="center"/>
    </xf>
    <xf numFmtId="0" fontId="23" fillId="0" borderId="3" xfId="87" applyFont="1" applyBorder="1" applyAlignment="1">
      <alignment vertical="center"/>
    </xf>
    <xf numFmtId="0" fontId="23" fillId="0" borderId="16" xfId="87" applyFont="1" applyFill="1" applyBorder="1" applyAlignment="1">
      <alignment horizontal="distributed" vertical="center" indent="1"/>
    </xf>
    <xf numFmtId="0" fontId="23" fillId="0" borderId="16" xfId="87" quotePrefix="1" applyFont="1" applyFill="1" applyBorder="1" applyAlignment="1">
      <alignment horizontal="distributed" vertical="center" indent="1"/>
    </xf>
    <xf numFmtId="0" fontId="23" fillId="0" borderId="3" xfId="87" applyFont="1" applyFill="1" applyBorder="1" applyAlignment="1">
      <alignment vertical="center"/>
    </xf>
    <xf numFmtId="0" fontId="23" fillId="0" borderId="3" xfId="87" quotePrefix="1" applyFont="1" applyFill="1" applyBorder="1" applyAlignment="1">
      <alignment horizontal="left" vertical="center"/>
    </xf>
    <xf numFmtId="9" fontId="23" fillId="0" borderId="3" xfId="87" applyNumberFormat="1" applyFont="1" applyBorder="1" applyAlignment="1">
      <alignment vertical="center"/>
    </xf>
    <xf numFmtId="0" fontId="23" fillId="0" borderId="3" xfId="87" quotePrefix="1" applyFont="1" applyFill="1" applyBorder="1" applyAlignment="1">
      <alignment horizontal="center" vertical="center"/>
    </xf>
    <xf numFmtId="0" fontId="23" fillId="2" borderId="3" xfId="87" quotePrefix="1" applyFont="1" applyFill="1" applyBorder="1" applyAlignment="1">
      <alignment vertical="center"/>
    </xf>
    <xf numFmtId="0" fontId="23" fillId="2" borderId="65" xfId="87" quotePrefix="1" applyFont="1" applyFill="1" applyBorder="1" applyAlignment="1">
      <alignment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3" fillId="0" borderId="60" xfId="87" applyFont="1" applyFill="1" applyBorder="1" applyAlignment="1">
      <alignment horizontal="distributed" vertical="center" indent="1"/>
    </xf>
    <xf numFmtId="0" fontId="33" fillId="0" borderId="60" xfId="87" quotePrefix="1" applyFont="1" applyFill="1" applyBorder="1" applyAlignment="1">
      <alignment horizontal="distributed" vertical="center" indent="1"/>
    </xf>
    <xf numFmtId="0" fontId="33" fillId="0" borderId="4" xfId="87" quotePrefix="1" applyFont="1" applyFill="1" applyBorder="1" applyAlignment="1">
      <alignment horizontal="distributed" vertical="center" indent="1"/>
    </xf>
    <xf numFmtId="0" fontId="33" fillId="0" borderId="68" xfId="87" applyFont="1" applyFill="1" applyBorder="1" applyAlignment="1">
      <alignment horizontal="distributed" vertical="center" indent="1"/>
    </xf>
    <xf numFmtId="0" fontId="33" fillId="0" borderId="26" xfId="87" applyFont="1" applyFill="1" applyBorder="1" applyAlignment="1">
      <alignment horizontal="distributed" vertical="center" indent="1"/>
    </xf>
    <xf numFmtId="0" fontId="23" fillId="0" borderId="39" xfId="87" applyFont="1" applyFill="1" applyBorder="1" applyAlignment="1">
      <alignment horizontal="left" vertical="center"/>
    </xf>
    <xf numFmtId="0" fontId="23" fillId="0" borderId="27" xfId="87" applyFont="1" applyFill="1" applyBorder="1" applyAlignment="1">
      <alignment horizontal="left" vertical="center"/>
    </xf>
    <xf numFmtId="0" fontId="23" fillId="0" borderId="65" xfId="87" applyFont="1" applyFill="1" applyBorder="1" applyAlignment="1">
      <alignment horizontal="left" vertical="center"/>
    </xf>
    <xf numFmtId="0" fontId="23" fillId="0" borderId="39" xfId="87" applyFont="1" applyBorder="1" applyAlignment="1">
      <alignment vertical="center"/>
    </xf>
    <xf numFmtId="0" fontId="33" fillId="0" borderId="2" xfId="87" quotePrefix="1" applyFont="1" applyFill="1" applyBorder="1" applyAlignment="1">
      <alignment horizontal="distributed" vertical="center" indent="1"/>
    </xf>
    <xf numFmtId="0" fontId="33" fillId="0" borderId="16" xfId="87" quotePrefix="1" applyFont="1" applyFill="1" applyBorder="1" applyAlignment="1">
      <alignment horizontal="distributed" vertical="center" indent="1"/>
    </xf>
    <xf numFmtId="49" fontId="6" fillId="0" borderId="50" xfId="0" applyNumberFormat="1" applyFont="1" applyBorder="1" applyAlignment="1">
      <alignment horizontal="center" vertical="center"/>
    </xf>
    <xf numFmtId="0" fontId="33" fillId="2" borderId="2" xfId="87" applyFont="1" applyFill="1" applyBorder="1" applyAlignment="1">
      <alignment horizontal="distributed" vertical="center" indent="1"/>
    </xf>
    <xf numFmtId="0" fontId="33" fillId="2" borderId="16" xfId="87" applyFont="1" applyFill="1" applyBorder="1" applyAlignment="1">
      <alignment horizontal="distributed" vertical="center" indent="1"/>
    </xf>
    <xf numFmtId="206" fontId="30" fillId="0" borderId="27" xfId="106" applyNumberFormat="1" applyFont="1" applyBorder="1" applyAlignment="1">
      <alignment horizontal="center" vertical="center"/>
    </xf>
    <xf numFmtId="206" fontId="30" fillId="0" borderId="48" xfId="106" applyNumberFormat="1" applyFont="1" applyBorder="1" applyAlignment="1">
      <alignment horizontal="center" vertical="center"/>
    </xf>
    <xf numFmtId="3" fontId="40" fillId="0" borderId="24" xfId="106" applyNumberFormat="1" applyFont="1" applyBorder="1" applyAlignment="1">
      <alignment horizontal="right" vertical="center"/>
    </xf>
    <xf numFmtId="3" fontId="40" fillId="0" borderId="0" xfId="106" applyNumberFormat="1" applyFont="1" applyBorder="1" applyAlignment="1">
      <alignment horizontal="right" vertical="center"/>
    </xf>
    <xf numFmtId="203" fontId="71" fillId="0" borderId="0" xfId="106" applyNumberFormat="1" applyFont="1" applyBorder="1" applyAlignment="1">
      <alignment vertical="center"/>
    </xf>
    <xf numFmtId="203" fontId="71" fillId="0" borderId="23" xfId="106" applyNumberFormat="1" applyFont="1" applyBorder="1" applyAlignment="1">
      <alignment vertical="center"/>
    </xf>
    <xf numFmtId="203" fontId="30" fillId="0" borderId="36" xfId="106" applyNumberFormat="1" applyFont="1" applyBorder="1" applyAlignment="1">
      <alignment vertical="center"/>
    </xf>
    <xf numFmtId="203" fontId="30" fillId="0" borderId="63" xfId="106" applyNumberFormat="1" applyFont="1" applyBorder="1" applyAlignment="1">
      <alignment vertical="center"/>
    </xf>
    <xf numFmtId="191" fontId="71" fillId="0" borderId="69" xfId="106" applyNumberFormat="1" applyFont="1" applyBorder="1" applyAlignment="1">
      <alignment horizontal="left" vertical="center"/>
    </xf>
    <xf numFmtId="204" fontId="71" fillId="0" borderId="0" xfId="106" applyNumberFormat="1" applyFont="1" applyBorder="1" applyAlignment="1">
      <alignment vertical="center"/>
    </xf>
    <xf numFmtId="204" fontId="71" fillId="0" borderId="23" xfId="106" applyNumberFormat="1" applyFont="1" applyBorder="1" applyAlignment="1">
      <alignment vertical="center"/>
    </xf>
    <xf numFmtId="204" fontId="30" fillId="0" borderId="36" xfId="106" applyNumberFormat="1" applyFont="1" applyBorder="1" applyAlignment="1">
      <alignment vertical="center"/>
    </xf>
    <xf numFmtId="204" fontId="30" fillId="0" borderId="63" xfId="106" applyNumberFormat="1" applyFont="1" applyBorder="1" applyAlignment="1">
      <alignment vertical="center"/>
    </xf>
    <xf numFmtId="205" fontId="71" fillId="0" borderId="0" xfId="106" applyNumberFormat="1" applyFont="1" applyBorder="1" applyAlignment="1">
      <alignment vertical="center"/>
    </xf>
    <xf numFmtId="205" fontId="71" fillId="0" borderId="23" xfId="106" applyNumberFormat="1" applyFont="1" applyBorder="1" applyAlignment="1">
      <alignment vertical="center"/>
    </xf>
    <xf numFmtId="0" fontId="30" fillId="0" borderId="0" xfId="106" applyFont="1" applyBorder="1" applyAlignment="1">
      <alignment horizontal="center" vertical="center"/>
    </xf>
    <xf numFmtId="191" fontId="30" fillId="0" borderId="64" xfId="106" applyNumberFormat="1" applyFont="1" applyBorder="1" applyAlignment="1">
      <alignment horizontal="left" vertical="center"/>
    </xf>
    <xf numFmtId="205" fontId="30" fillId="0" borderId="0" xfId="106" applyNumberFormat="1" applyFont="1" applyBorder="1" applyAlignment="1">
      <alignment horizontal="center" vertical="center"/>
    </xf>
    <xf numFmtId="205" fontId="30" fillId="0" borderId="23" xfId="106" applyNumberFormat="1" applyFont="1" applyBorder="1" applyAlignment="1">
      <alignment horizontal="center" vertical="center"/>
    </xf>
    <xf numFmtId="191" fontId="71" fillId="0" borderId="0" xfId="106" applyNumberFormat="1" applyFont="1" applyBorder="1" applyAlignment="1">
      <alignment horizontal="left" vertical="center"/>
    </xf>
    <xf numFmtId="3" fontId="43" fillId="0" borderId="0" xfId="0" applyNumberFormat="1" applyFont="1" applyBorder="1" applyAlignment="1">
      <alignment horizontal="distributed" vertical="center" indent="5"/>
    </xf>
    <xf numFmtId="3" fontId="19" fillId="0" borderId="33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left" vertical="center"/>
    </xf>
    <xf numFmtId="3" fontId="19" fillId="0" borderId="32" xfId="0" applyNumberFormat="1" applyFont="1" applyBorder="1" applyAlignment="1">
      <alignment horizontal="left" vertical="center"/>
    </xf>
    <xf numFmtId="3" fontId="32" fillId="0" borderId="0" xfId="0" applyNumberFormat="1" applyFont="1" applyBorder="1" applyAlignment="1">
      <alignment horizontal="center" vertical="center"/>
    </xf>
  </cellXfs>
  <cellStyles count="112">
    <cellStyle name="          _x000d__x000a_386grabber=vga.3gr_x000d__x000a_" xfId="1"/>
    <cellStyle name="_x0004__x0004__x0019__x001b__x0004_$_x0010__x0010__x0008__x0001_" xfId="2"/>
    <cellStyle name="??&amp;O?&amp;H?_x0008__x000f__x0007_?_x0007__x0001__x0001_" xfId="3"/>
    <cellStyle name="??&amp;O?&amp;H?_x0008_??_x0007__x0001__x0001_" xfId="4"/>
    <cellStyle name="_산동 농협동로지소 청사 신축공사-1" xfId="5"/>
    <cellStyle name="_산동 농협동로지소 청사 신축공사-1_1" xfId="6"/>
    <cellStyle name="_옥포초등학교소방내역서" xfId="7"/>
    <cellStyle name="_유기전기1(동영ENG내역)" xfId="8"/>
    <cellStyle name="_x0007_ _x000d__x000d_­­_x0007_ ­" xfId="9"/>
    <cellStyle name="1" xfId="10"/>
    <cellStyle name="19990216" xfId="11"/>
    <cellStyle name="C￥AØ_TRANPORTATION" xfId="12"/>
    <cellStyle name="category" xfId="13"/>
    <cellStyle name="Comma [0]_ SG&amp;A Bridge " xfId="14"/>
    <cellStyle name="comma zerodec" xfId="15"/>
    <cellStyle name="Comma_ SG&amp;A Bridge " xfId="16"/>
    <cellStyle name="Currency [0]_ SG&amp;A Bridge " xfId="17"/>
    <cellStyle name="Currency_ SG&amp;A Bridge " xfId="18"/>
    <cellStyle name="Currency1" xfId="19"/>
    <cellStyle name="Dollar (zero dec)" xfId="20"/>
    <cellStyle name="F2" xfId="21"/>
    <cellStyle name="F3" xfId="22"/>
    <cellStyle name="F4" xfId="23"/>
    <cellStyle name="F5" xfId="24"/>
    <cellStyle name="F6" xfId="25"/>
    <cellStyle name="F7" xfId="26"/>
    <cellStyle name="F8" xfId="27"/>
    <cellStyle name="ǦǦ_x0003_" xfId="28"/>
    <cellStyle name="Grey" xfId="29"/>
    <cellStyle name="HEADER" xfId="30"/>
    <cellStyle name="Header1" xfId="31"/>
    <cellStyle name="Header2" xfId="32"/>
    <cellStyle name="Input [yellow]" xfId="33"/>
    <cellStyle name="_x0001__x0002_ĵĵ_x0007_ ĵĵ_x000d__x000d_ƨƬ_x0001__x0002_ƨƬ_x0007__x000d_ǒǓ _x000d_ǜǜ_x000d__x000d_ǪǪ_x0007__x0007__x0005__x0005__x0010__x0001_ဠ" xfId="34"/>
    <cellStyle name="Milliers [0]_Arabian Spec" xfId="35"/>
    <cellStyle name="Milliers_Arabian Spec" xfId="36"/>
    <cellStyle name="Model" xfId="37"/>
    <cellStyle name="Mon?aire [0]_Arabian Spec" xfId="38"/>
    <cellStyle name="Mon?aire_Arabian Spec" xfId="39"/>
    <cellStyle name="Normal - Style1" xfId="40"/>
    <cellStyle name="Normal - Style2" xfId="41"/>
    <cellStyle name="Normal - Style3" xfId="42"/>
    <cellStyle name="Normal - Style4" xfId="43"/>
    <cellStyle name="Normal - Style5" xfId="44"/>
    <cellStyle name="Normal - Style6" xfId="45"/>
    <cellStyle name="Normal - Style7" xfId="46"/>
    <cellStyle name="Normal - Style8" xfId="47"/>
    <cellStyle name="Normal_ SG&amp;A Bridge " xfId="48"/>
    <cellStyle name="oft Excel]_x000d__x000a_Comment=The open=/f lines load custom functions into the Paste Function list._x000d__x000a_Maximized=3_x000d__x000a_AutoFormat=" xfId="49"/>
    <cellStyle name="Percent [2]" xfId="50"/>
    <cellStyle name="_x0001__x0002_ƨƬ_x0007__x000d_ǒǓ _x000d_ǜǜ_x000d__x000d_ǪǪ_x0007__x0007__x0005__x0005__x0010__x0001_ဠ" xfId="51"/>
    <cellStyle name="subhead" xfId="52"/>
    <cellStyle name="title [1]" xfId="53"/>
    <cellStyle name="title [2]" xfId="54"/>
    <cellStyle name="UM" xfId="55"/>
    <cellStyle name="_x0010__x0001_ဠ" xfId="56"/>
    <cellStyle name="고정소숫점" xfId="57"/>
    <cellStyle name="고정출력1" xfId="58"/>
    <cellStyle name="고정출력2" xfId="59"/>
    <cellStyle name="咬訌裝?INCOM1" xfId="60"/>
    <cellStyle name="咬訌裝?INCOM10" xfId="61"/>
    <cellStyle name="咬訌裝?INCOM2" xfId="62"/>
    <cellStyle name="咬訌裝?INCOM3" xfId="63"/>
    <cellStyle name="咬訌裝?INCOM4" xfId="64"/>
    <cellStyle name="咬訌裝?INCOM5" xfId="65"/>
    <cellStyle name="咬訌裝?INCOM6" xfId="66"/>
    <cellStyle name="咬訌裝?INCOM7" xfId="67"/>
    <cellStyle name="咬訌裝?INCOM8" xfId="68"/>
    <cellStyle name="咬訌裝?INCOM9" xfId="69"/>
    <cellStyle name="咬訌裝?PRIB11" xfId="70"/>
    <cellStyle name="날짜" xfId="71"/>
    <cellStyle name="달러" xfId="72"/>
    <cellStyle name="뒤에 오는 하이퍼링크_가창중학교 교사 환경개선 사업공사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" xfId="78" builtinId="5"/>
    <cellStyle name="백분율 [0]" xfId="79"/>
    <cellStyle name="백분율 [2]" xfId="80"/>
    <cellStyle name="백분율 2" xfId="81"/>
    <cellStyle name="뷭?_?긚??_1" xfId="82"/>
    <cellStyle name="숫자(R)" xfId="83"/>
    <cellStyle name="쉼표 [0]" xfId="84" builtinId="6"/>
    <cellStyle name="쉼표 [0] 2" xfId="85"/>
    <cellStyle name="쉼표 [0]_m.dega" xfId="86"/>
    <cellStyle name="쉼표 [0]_강당-전기" xfId="87"/>
    <cellStyle name="쉼표 [0]_금계초-전기" xfId="88"/>
    <cellStyle name="스타일 1" xfId="89"/>
    <cellStyle name="스타일 2" xfId="90"/>
    <cellStyle name="스타일 3" xfId="91"/>
    <cellStyle name="스타일 4" xfId="92"/>
    <cellStyle name="원" xfId="93"/>
    <cellStyle name="자리수" xfId="94"/>
    <cellStyle name="자리수0" xfId="95"/>
    <cellStyle name="콤마 [0]" xfId="96"/>
    <cellStyle name="콤마 [2]" xfId="97"/>
    <cellStyle name="콤마_  종  합  " xfId="98"/>
    <cellStyle name="통화 [0] 2" xfId="99"/>
    <cellStyle name="퍼센트" xfId="100"/>
    <cellStyle name="표준" xfId="0" builtinId="0"/>
    <cellStyle name="표준 2" xfId="101"/>
    <cellStyle name="표준 3" xfId="102"/>
    <cellStyle name="표준 4" xfId="103"/>
    <cellStyle name="표준 5" xfId="104"/>
    <cellStyle name="표준_m.dega" xfId="105"/>
    <cellStyle name="표준_가로등주 파손" xfId="106"/>
    <cellStyle name="표준_강당-전기" xfId="107"/>
    <cellStyle name="표준_테니스장 콘테이너 샤워실 제작 설치" xfId="108"/>
    <cellStyle name="합산" xfId="109"/>
    <cellStyle name="화폐기호" xfId="110"/>
    <cellStyle name="화폐기호0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585391</xdr:colOff>
      <xdr:row>15</xdr:row>
      <xdr:rowOff>69453</xdr:rowOff>
    </xdr:from>
    <xdr:to>
      <xdr:col>10</xdr:col>
      <xdr:colOff>615156</xdr:colOff>
      <xdr:row>16</xdr:row>
      <xdr:rowOff>277813</xdr:rowOff>
    </xdr:to>
    <xdr:pic>
      <xdr:nvPicPr>
        <xdr:cNvPr id="3" name="그림 2" descr="ci_img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739" t="35545" r="9501" b="36967"/>
        <a:stretch>
          <a:fillRect/>
        </a:stretch>
      </xdr:blipFill>
      <xdr:spPr>
        <a:xfrm>
          <a:off x="4554141" y="4831953"/>
          <a:ext cx="3085703" cy="52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14</xdr:row>
      <xdr:rowOff>114299</xdr:rowOff>
    </xdr:from>
    <xdr:to>
      <xdr:col>11</xdr:col>
      <xdr:colOff>498790</xdr:colOff>
      <xdr:row>17</xdr:row>
      <xdr:rowOff>38099</xdr:rowOff>
    </xdr:to>
    <xdr:pic>
      <xdr:nvPicPr>
        <xdr:cNvPr id="2" name="그림 1" descr="사본 -공단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1475" y="4514849"/>
          <a:ext cx="4089715" cy="866775"/>
        </a:xfrm>
        <a:prstGeom prst="rect">
          <a:avLst/>
        </a:prstGeom>
        <a:effectLst>
          <a:innerShdw blurRad="63500" dist="50800" dir="2700000">
            <a:srgbClr val="92D050">
              <a:alpha val="50000"/>
            </a:srgbClr>
          </a:innerShdw>
        </a:effectLst>
        <a:scene3d>
          <a:camera prst="orthographicFront"/>
          <a:lightRig rig="threePt" dir="t"/>
        </a:scene3d>
        <a:sp3d>
          <a:bevelT/>
        </a:sp3d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showZeros="0" view="pageBreakPreview" zoomScale="90" zoomScaleSheetLayoutView="90" workbookViewId="0">
      <selection activeCell="E1" sqref="E1"/>
    </sheetView>
  </sheetViews>
  <sheetFormatPr defaultRowHeight="24.95" customHeight="1"/>
  <cols>
    <col min="1" max="1" width="1.77734375" style="2" customWidth="1"/>
    <col min="2" max="2" width="15.77734375" style="2" customWidth="1"/>
    <col min="3" max="3" width="10.77734375" style="2" customWidth="1"/>
    <col min="4" max="4" width="6.77734375" style="2" customWidth="1"/>
    <col min="5" max="5" width="5.77734375" style="2" customWidth="1"/>
    <col min="6" max="7" width="9.77734375" style="2" customWidth="1"/>
    <col min="8" max="8" width="2.77734375" style="2" customWidth="1"/>
    <col min="9" max="9" width="7.77734375" style="2" customWidth="1"/>
    <col min="10" max="10" width="10.77734375" style="2" customWidth="1"/>
    <col min="11" max="11" width="2.77734375" style="2" customWidth="1"/>
    <col min="12" max="12" width="7.77734375" style="2" customWidth="1"/>
    <col min="13" max="14" width="10.77734375" style="2" customWidth="1"/>
    <col min="15" max="15" width="1.77734375" style="2" customWidth="1"/>
    <col min="16" max="16384" width="8.88671875" style="2"/>
  </cols>
  <sheetData>
    <row r="1" spans="2:14" ht="39.950000000000003" customHeight="1">
      <c r="B1" s="225" t="s">
        <v>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2:14" s="4" customFormat="1" ht="24.95" customHeight="1">
      <c r="B2" s="328" t="s">
        <v>3</v>
      </c>
      <c r="C2" s="328" t="s">
        <v>4</v>
      </c>
      <c r="D2" s="328" t="s">
        <v>5</v>
      </c>
      <c r="E2" s="328" t="s">
        <v>6</v>
      </c>
      <c r="F2" s="328" t="s">
        <v>7</v>
      </c>
      <c r="G2" s="328"/>
      <c r="H2" s="328"/>
      <c r="I2" s="328"/>
      <c r="J2" s="328"/>
      <c r="K2" s="328"/>
      <c r="L2" s="328"/>
      <c r="M2" s="328"/>
      <c r="N2" s="328" t="s">
        <v>8</v>
      </c>
    </row>
    <row r="3" spans="2:14" s="4" customFormat="1" ht="24.95" customHeight="1">
      <c r="B3" s="328"/>
      <c r="C3" s="328"/>
      <c r="D3" s="328"/>
      <c r="E3" s="328"/>
      <c r="F3" s="3" t="s">
        <v>9</v>
      </c>
      <c r="G3" s="3" t="s">
        <v>10</v>
      </c>
      <c r="H3" s="333">
        <v>9</v>
      </c>
      <c r="I3" s="334"/>
      <c r="J3" s="335"/>
      <c r="K3" s="330">
        <v>9</v>
      </c>
      <c r="L3" s="331"/>
      <c r="M3" s="332"/>
      <c r="N3" s="328"/>
    </row>
    <row r="4" spans="2:14" ht="24.95" customHeight="1">
      <c r="B4" s="98" t="s">
        <v>222</v>
      </c>
      <c r="C4" s="111" t="s">
        <v>241</v>
      </c>
      <c r="D4" s="6">
        <v>1</v>
      </c>
      <c r="E4" s="5" t="s">
        <v>223</v>
      </c>
      <c r="F4" s="291" t="s">
        <v>233</v>
      </c>
      <c r="G4" s="291" t="s">
        <v>233</v>
      </c>
      <c r="H4" s="292"/>
      <c r="I4" s="293" t="s">
        <v>233</v>
      </c>
      <c r="J4" s="291" t="s">
        <v>233</v>
      </c>
      <c r="K4" s="294" t="s">
        <v>218</v>
      </c>
      <c r="L4" s="293">
        <v>345</v>
      </c>
      <c r="M4" s="291">
        <v>86000</v>
      </c>
      <c r="N4" s="298">
        <f>MIN(F4,G4,J4,M4)</f>
        <v>86000</v>
      </c>
    </row>
    <row r="5" spans="2:14" ht="24.95" customHeight="1">
      <c r="B5" s="98" t="s">
        <v>224</v>
      </c>
      <c r="C5" s="111" t="s">
        <v>227</v>
      </c>
      <c r="D5" s="6">
        <v>1</v>
      </c>
      <c r="E5" s="5" t="s">
        <v>209</v>
      </c>
      <c r="F5" s="291" t="s">
        <v>233</v>
      </c>
      <c r="G5" s="291" t="s">
        <v>233</v>
      </c>
      <c r="H5" s="292"/>
      <c r="I5" s="293" t="s">
        <v>233</v>
      </c>
      <c r="J5" s="291" t="s">
        <v>233</v>
      </c>
      <c r="K5" s="294" t="s">
        <v>218</v>
      </c>
      <c r="L5" s="293">
        <v>345</v>
      </c>
      <c r="M5" s="291">
        <v>12000</v>
      </c>
      <c r="N5" s="298">
        <f>MIN(F5,G5,J5,M5)</f>
        <v>12000</v>
      </c>
    </row>
    <row r="6" spans="2:14" ht="24.95" customHeight="1">
      <c r="B6" s="98" t="s">
        <v>234</v>
      </c>
      <c r="C6" s="111" t="s">
        <v>239</v>
      </c>
      <c r="D6" s="6">
        <v>1</v>
      </c>
      <c r="E6" s="5" t="s">
        <v>209</v>
      </c>
      <c r="F6" s="291" t="s">
        <v>233</v>
      </c>
      <c r="G6" s="291"/>
      <c r="H6" s="292" t="s">
        <v>210</v>
      </c>
      <c r="I6" s="293" t="s">
        <v>233</v>
      </c>
      <c r="J6" s="291" t="s">
        <v>233</v>
      </c>
      <c r="K6" s="294" t="s">
        <v>218</v>
      </c>
      <c r="L6" s="293">
        <v>345</v>
      </c>
      <c r="M6" s="291">
        <v>500</v>
      </c>
      <c r="N6" s="298">
        <f>MIN(F6,G6,J6,M6)</f>
        <v>500</v>
      </c>
    </row>
    <row r="7" spans="2:14" ht="24.95" customHeight="1">
      <c r="B7" s="98" t="s">
        <v>254</v>
      </c>
      <c r="C7" s="111" t="s">
        <v>255</v>
      </c>
      <c r="D7" s="6">
        <v>1</v>
      </c>
      <c r="E7" s="5" t="s">
        <v>209</v>
      </c>
      <c r="F7" s="291" t="s">
        <v>233</v>
      </c>
      <c r="G7" s="291" t="s">
        <v>233</v>
      </c>
      <c r="H7" s="292" t="s">
        <v>233</v>
      </c>
      <c r="I7" s="293" t="s">
        <v>244</v>
      </c>
      <c r="J7" s="291" t="s">
        <v>244</v>
      </c>
      <c r="K7" s="294" t="s">
        <v>218</v>
      </c>
      <c r="L7" s="293">
        <v>345</v>
      </c>
      <c r="M7" s="291">
        <v>900</v>
      </c>
      <c r="N7" s="298">
        <f>MIN(F7,G7,J7,M7)</f>
        <v>900</v>
      </c>
    </row>
    <row r="8" spans="2:14" ht="24.95" customHeight="1">
      <c r="B8" s="98" t="s">
        <v>198</v>
      </c>
      <c r="C8" s="111" t="s">
        <v>208</v>
      </c>
      <c r="D8" s="6">
        <v>1</v>
      </c>
      <c r="E8" s="5" t="s">
        <v>11</v>
      </c>
      <c r="F8" s="291">
        <v>1239</v>
      </c>
      <c r="G8" s="291" t="s">
        <v>233</v>
      </c>
      <c r="H8" s="292" t="s">
        <v>217</v>
      </c>
      <c r="I8" s="293">
        <v>32</v>
      </c>
      <c r="J8" s="291">
        <v>1240</v>
      </c>
      <c r="K8" s="294" t="s">
        <v>218</v>
      </c>
      <c r="L8" s="293">
        <v>884</v>
      </c>
      <c r="M8" s="291">
        <v>1240</v>
      </c>
      <c r="N8" s="298">
        <f>MIN(F8,G8,J8,M8)</f>
        <v>1239</v>
      </c>
    </row>
    <row r="9" spans="2:14" ht="24.95" customHeight="1">
      <c r="B9" s="98" t="s">
        <v>216</v>
      </c>
      <c r="C9" s="111">
        <v>0</v>
      </c>
      <c r="D9" s="6">
        <v>1</v>
      </c>
      <c r="E9" s="5" t="s">
        <v>209</v>
      </c>
      <c r="F9" s="291">
        <v>12000</v>
      </c>
      <c r="G9" s="291">
        <v>14000</v>
      </c>
      <c r="H9" s="292"/>
      <c r="I9" s="293"/>
      <c r="J9" s="291"/>
      <c r="K9" s="292"/>
      <c r="L9" s="293"/>
      <c r="M9" s="291"/>
      <c r="N9" s="298">
        <f t="shared" ref="N9:N16" si="0">MIN(F9,G9,J9,M9)</f>
        <v>12000</v>
      </c>
    </row>
    <row r="10" spans="2:14" ht="24.95" customHeight="1">
      <c r="B10" s="296" t="s">
        <v>251</v>
      </c>
      <c r="C10" s="111" t="s">
        <v>259</v>
      </c>
      <c r="D10" s="6">
        <v>1</v>
      </c>
      <c r="E10" s="5" t="s">
        <v>258</v>
      </c>
      <c r="F10" s="291"/>
      <c r="G10" s="291"/>
      <c r="H10" s="292" t="s">
        <v>210</v>
      </c>
      <c r="I10" s="293">
        <v>1395</v>
      </c>
      <c r="J10" s="291">
        <v>3119</v>
      </c>
      <c r="K10" s="326" t="s">
        <v>267</v>
      </c>
      <c r="L10" s="293">
        <v>570</v>
      </c>
      <c r="M10" s="291">
        <v>2520</v>
      </c>
      <c r="N10" s="298">
        <f t="shared" si="0"/>
        <v>2520</v>
      </c>
    </row>
    <row r="11" spans="2:14" ht="24.95" customHeight="1">
      <c r="B11" s="297" t="s">
        <v>252</v>
      </c>
      <c r="C11" s="112" t="s">
        <v>260</v>
      </c>
      <c r="D11" s="6">
        <v>1</v>
      </c>
      <c r="E11" s="5" t="s">
        <v>11</v>
      </c>
      <c r="F11" s="291" t="s">
        <v>233</v>
      </c>
      <c r="G11" s="291" t="s">
        <v>233</v>
      </c>
      <c r="H11" s="292" t="s">
        <v>263</v>
      </c>
      <c r="I11" s="293">
        <v>33</v>
      </c>
      <c r="J11" s="291">
        <v>2</v>
      </c>
      <c r="K11" s="294" t="s">
        <v>218</v>
      </c>
      <c r="L11" s="293">
        <v>885</v>
      </c>
      <c r="M11" s="291">
        <v>3</v>
      </c>
      <c r="N11" s="298">
        <f t="shared" si="0"/>
        <v>2</v>
      </c>
    </row>
    <row r="12" spans="2:14" ht="24.95" customHeight="1">
      <c r="B12" s="98" t="s">
        <v>250</v>
      </c>
      <c r="C12" s="112"/>
      <c r="D12" s="6">
        <v>1</v>
      </c>
      <c r="E12" s="5" t="s">
        <v>249</v>
      </c>
      <c r="F12" s="291"/>
      <c r="G12" s="291"/>
      <c r="H12" s="292" t="s">
        <v>263</v>
      </c>
      <c r="I12" s="293">
        <v>33</v>
      </c>
      <c r="J12" s="291">
        <v>12500</v>
      </c>
      <c r="K12" s="294" t="s">
        <v>218</v>
      </c>
      <c r="L12" s="293">
        <v>885</v>
      </c>
      <c r="M12" s="291">
        <v>11000</v>
      </c>
      <c r="N12" s="298">
        <f t="shared" si="0"/>
        <v>11000</v>
      </c>
    </row>
    <row r="13" spans="2:14" ht="24.95" customHeight="1">
      <c r="B13" s="98" t="s">
        <v>253</v>
      </c>
      <c r="C13" s="111" t="s">
        <v>261</v>
      </c>
      <c r="D13" s="6">
        <v>1</v>
      </c>
      <c r="E13" s="5" t="s">
        <v>256</v>
      </c>
      <c r="F13" s="291" t="s">
        <v>244</v>
      </c>
      <c r="G13" s="291"/>
      <c r="H13" s="292"/>
      <c r="I13" s="293">
        <v>55</v>
      </c>
      <c r="J13" s="291">
        <v>7330</v>
      </c>
      <c r="K13" s="326" t="s">
        <v>267</v>
      </c>
      <c r="L13" s="293">
        <v>84</v>
      </c>
      <c r="M13" s="291">
        <v>15550</v>
      </c>
      <c r="N13" s="298">
        <f t="shared" si="0"/>
        <v>7330</v>
      </c>
    </row>
    <row r="14" spans="2:14" ht="24.95" customHeight="1">
      <c r="B14" s="98" t="s">
        <v>265</v>
      </c>
      <c r="C14" s="111" t="s">
        <v>266</v>
      </c>
      <c r="D14" s="6">
        <v>1</v>
      </c>
      <c r="E14" s="5" t="s">
        <v>257</v>
      </c>
      <c r="F14" s="291" t="s">
        <v>244</v>
      </c>
      <c r="G14" s="291"/>
      <c r="H14" s="292"/>
      <c r="I14" s="293">
        <v>88</v>
      </c>
      <c r="J14" s="291">
        <v>247</v>
      </c>
      <c r="K14" s="326" t="s">
        <v>267</v>
      </c>
      <c r="L14" s="293">
        <v>112</v>
      </c>
      <c r="M14" s="291">
        <v>301</v>
      </c>
      <c r="N14" s="298">
        <f t="shared" si="0"/>
        <v>247</v>
      </c>
    </row>
    <row r="15" spans="2:14" ht="24.95" customHeight="1">
      <c r="B15" s="98" t="s">
        <v>287</v>
      </c>
      <c r="C15" s="111">
        <v>0</v>
      </c>
      <c r="D15" s="6">
        <v>1</v>
      </c>
      <c r="E15" s="5" t="s">
        <v>220</v>
      </c>
      <c r="F15" s="291">
        <v>13000</v>
      </c>
      <c r="G15" s="291">
        <v>13800</v>
      </c>
      <c r="H15" s="292"/>
      <c r="I15" s="293"/>
      <c r="J15" s="291"/>
      <c r="K15" s="292"/>
      <c r="L15" s="295"/>
      <c r="M15" s="291"/>
      <c r="N15" s="298">
        <f t="shared" ref="N15" si="1">MIN(F15,G15,J15,M15)</f>
        <v>13000</v>
      </c>
    </row>
    <row r="16" spans="2:14" ht="24.95" customHeight="1">
      <c r="B16" s="98" t="s">
        <v>294</v>
      </c>
      <c r="C16" s="111" t="s">
        <v>291</v>
      </c>
      <c r="D16" s="6">
        <v>1</v>
      </c>
      <c r="E16" s="5" t="s">
        <v>247</v>
      </c>
      <c r="F16" s="291" t="s">
        <v>295</v>
      </c>
      <c r="G16" s="291" t="s">
        <v>295</v>
      </c>
      <c r="H16" s="292"/>
      <c r="I16" s="293">
        <v>208</v>
      </c>
      <c r="J16" s="291">
        <v>60000</v>
      </c>
      <c r="K16" s="326" t="s">
        <v>264</v>
      </c>
      <c r="L16" s="293">
        <v>325</v>
      </c>
      <c r="M16" s="291">
        <v>55000</v>
      </c>
      <c r="N16" s="298">
        <f t="shared" si="0"/>
        <v>55000</v>
      </c>
    </row>
    <row r="17" spans="2:14" ht="7.5" customHeight="1">
      <c r="B17" s="129"/>
      <c r="C17" s="130"/>
      <c r="D17" s="131"/>
      <c r="E17" s="132"/>
      <c r="F17" s="131"/>
      <c r="G17" s="131"/>
      <c r="H17" s="131"/>
      <c r="I17" s="133"/>
      <c r="J17" s="131"/>
      <c r="K17" s="131"/>
      <c r="L17" s="134"/>
      <c r="M17" s="131"/>
      <c r="N17" s="135"/>
    </row>
    <row r="18" spans="2:14" ht="24.95" customHeight="1">
      <c r="F18" s="4"/>
      <c r="G18" s="4"/>
      <c r="H18" s="4"/>
      <c r="I18" s="4" t="s">
        <v>14</v>
      </c>
      <c r="J18" s="329">
        <v>43353</v>
      </c>
      <c r="K18" s="329"/>
      <c r="L18" s="329"/>
      <c r="M18" s="226">
        <v>43357</v>
      </c>
      <c r="N18" s="226"/>
    </row>
    <row r="19" spans="2:14" ht="24.95" customHeight="1">
      <c r="F19" s="4"/>
      <c r="G19" s="4"/>
      <c r="H19" s="4"/>
      <c r="I19" s="4" t="s">
        <v>15</v>
      </c>
      <c r="J19" s="267" t="s">
        <v>231</v>
      </c>
      <c r="K19" s="267"/>
      <c r="M19" s="4"/>
    </row>
    <row r="20" spans="2:14" ht="24.95" customHeight="1">
      <c r="F20" s="4"/>
      <c r="G20" s="4"/>
      <c r="H20" s="4"/>
      <c r="I20" s="4" t="s">
        <v>16</v>
      </c>
      <c r="J20" s="267" t="s">
        <v>232</v>
      </c>
      <c r="K20" s="267"/>
      <c r="M20" s="4"/>
    </row>
  </sheetData>
  <mergeCells count="9">
    <mergeCell ref="N2:N3"/>
    <mergeCell ref="J18:L18"/>
    <mergeCell ref="B2:B3"/>
    <mergeCell ref="C2:C3"/>
    <mergeCell ref="D2:D3"/>
    <mergeCell ref="E2:E3"/>
    <mergeCell ref="F2:M2"/>
    <mergeCell ref="K3:M3"/>
    <mergeCell ref="H3:J3"/>
  </mergeCells>
  <phoneticPr fontId="2" type="noConversion"/>
  <printOptions horizontalCentered="1" verticalCentered="1"/>
  <pageMargins left="0.74803149606299213" right="0.35433070866141736" top="0.78740157480314965" bottom="0.39370078740157483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53"/>
  <sheetViews>
    <sheetView showZeros="0" view="pageBreakPreview" topLeftCell="A13" zoomScaleSheetLayoutView="100" workbookViewId="0">
      <selection activeCell="J53" sqref="J53"/>
    </sheetView>
  </sheetViews>
  <sheetFormatPr defaultRowHeight="13.5"/>
  <cols>
    <col min="1" max="1" width="1.77734375" style="30" customWidth="1"/>
    <col min="2" max="2" width="2.77734375" style="193" customWidth="1"/>
    <col min="3" max="4" width="2.77734375" style="30" customWidth="1"/>
    <col min="5" max="5" width="18.77734375" style="30" customWidth="1"/>
    <col min="6" max="6" width="25.77734375" style="30" customWidth="1"/>
    <col min="7" max="7" width="9.109375" style="30" customWidth="1"/>
    <col min="8" max="8" width="18.77734375" style="30" customWidth="1"/>
    <col min="9" max="9" width="1.77734375" style="30" customWidth="1"/>
    <col min="10" max="10" width="11.109375" customWidth="1"/>
  </cols>
  <sheetData>
    <row r="1" spans="1:9" ht="24.95" customHeight="1">
      <c r="A1"/>
      <c r="B1" s="430" t="s">
        <v>96</v>
      </c>
      <c r="C1" s="430"/>
      <c r="D1" s="430"/>
      <c r="E1" s="430"/>
      <c r="F1" s="430"/>
      <c r="G1" s="430"/>
      <c r="H1" s="431"/>
      <c r="I1"/>
    </row>
    <row r="2" spans="1:9" ht="24.95" customHeight="1">
      <c r="A2"/>
      <c r="B2" s="432" t="str">
        <f>원가계산서!S2</f>
        <v xml:space="preserve">신천좌안도로 가창우체국 앞 외 1개소 차광망 설치공사 </v>
      </c>
      <c r="C2" s="432"/>
      <c r="D2" s="432"/>
      <c r="E2" s="432"/>
      <c r="F2" s="432"/>
      <c r="G2" s="432"/>
      <c r="H2" s="433"/>
      <c r="I2"/>
    </row>
    <row r="3" spans="1:9" ht="20.100000000000001" customHeight="1">
      <c r="A3"/>
      <c r="B3" s="434" t="e">
        <f>"공사금액 : 금"&amp;NUMBERSTRING(H52,1)&amp;"원정"&amp;TEXT(H52,("(금0,00원정)"))</f>
        <v>#REF!</v>
      </c>
      <c r="C3" s="434"/>
      <c r="D3" s="434"/>
      <c r="E3" s="434"/>
      <c r="F3" s="434"/>
      <c r="G3" s="434"/>
      <c r="H3" s="435"/>
      <c r="I3"/>
    </row>
    <row r="4" spans="1:9" ht="20.100000000000001" customHeight="1" thickBot="1">
      <c r="A4"/>
      <c r="B4" s="436" t="e">
        <f>"공사금액 : 금"&amp;NUMBERSTRING(H53,1)&amp;"원정"&amp;TEXT(H53,("(금0,00원정)"))</f>
        <v>#VALUE!</v>
      </c>
      <c r="C4" s="436"/>
      <c r="D4" s="436"/>
      <c r="E4" s="436"/>
      <c r="F4" s="436"/>
      <c r="G4" s="436"/>
      <c r="H4" s="437"/>
      <c r="I4"/>
    </row>
    <row r="5" spans="1:9" ht="24.95" customHeight="1" thickBot="1">
      <c r="A5"/>
      <c r="B5" s="438" t="s">
        <v>72</v>
      </c>
      <c r="C5" s="439"/>
      <c r="D5" s="439"/>
      <c r="E5" s="439"/>
      <c r="F5" s="194" t="s">
        <v>71</v>
      </c>
      <c r="G5" s="195"/>
      <c r="H5" s="196" t="s">
        <v>70</v>
      </c>
      <c r="I5"/>
    </row>
    <row r="6" spans="1:9">
      <c r="A6"/>
      <c r="B6" s="440" t="s">
        <v>140</v>
      </c>
      <c r="C6" s="462" t="s">
        <v>168</v>
      </c>
      <c r="D6" s="463"/>
      <c r="E6" s="463"/>
      <c r="F6" s="468" t="s">
        <v>95</v>
      </c>
      <c r="G6" s="428"/>
      <c r="H6" s="197" t="e">
        <f>H8+H14+H20</f>
        <v>#REF!</v>
      </c>
      <c r="I6"/>
    </row>
    <row r="7" spans="1:9" ht="14.25" thickBot="1">
      <c r="A7"/>
      <c r="B7" s="441"/>
      <c r="C7" s="464"/>
      <c r="D7" s="464"/>
      <c r="E7" s="464"/>
      <c r="F7" s="469"/>
      <c r="G7" s="429"/>
      <c r="H7" s="198" t="e">
        <f>H9+H15+H21</f>
        <v>#VALUE!</v>
      </c>
      <c r="I7"/>
    </row>
    <row r="8" spans="1:9">
      <c r="A8"/>
      <c r="B8" s="460"/>
      <c r="C8" s="461" t="s">
        <v>128</v>
      </c>
      <c r="D8" s="465" t="s">
        <v>169</v>
      </c>
      <c r="E8" s="466"/>
      <c r="F8" s="467" t="s">
        <v>94</v>
      </c>
      <c r="G8" s="470"/>
      <c r="H8" s="197" t="e">
        <f>H10+H12</f>
        <v>#REF!</v>
      </c>
      <c r="I8"/>
    </row>
    <row r="9" spans="1:9">
      <c r="A9"/>
      <c r="B9" s="448"/>
      <c r="C9" s="341"/>
      <c r="D9" s="358"/>
      <c r="E9" s="359"/>
      <c r="F9" s="450"/>
      <c r="G9" s="451"/>
      <c r="H9" s="199" t="e">
        <f>H11+H13</f>
        <v>#VALUE!</v>
      </c>
      <c r="I9"/>
    </row>
    <row r="10" spans="1:9">
      <c r="A10"/>
      <c r="B10" s="448"/>
      <c r="C10" s="341"/>
      <c r="D10" s="447" t="s">
        <v>129</v>
      </c>
      <c r="E10" s="452" t="s">
        <v>149</v>
      </c>
      <c r="F10" s="445"/>
      <c r="G10" s="446"/>
      <c r="H10" s="200" t="e">
        <f>SUMIF(변경내역서!$AH$5:$AH$100,"○",변경내역서!AO5:AO100)</f>
        <v>#REF!</v>
      </c>
      <c r="I10"/>
    </row>
    <row r="11" spans="1:9">
      <c r="A11"/>
      <c r="B11" s="448"/>
      <c r="C11" s="341"/>
      <c r="D11" s="447"/>
      <c r="E11" s="453"/>
      <c r="F11" s="445"/>
      <c r="G11" s="446"/>
      <c r="H11" s="201" t="e">
        <f>SUMIF(변경내역서!$AH$5:$AH$100,"★",변경내역서!AO5:AO100)</f>
        <v>#VALUE!</v>
      </c>
      <c r="I11"/>
    </row>
    <row r="12" spans="1:9">
      <c r="A12"/>
      <c r="B12" s="448"/>
      <c r="C12" s="341"/>
      <c r="D12" s="447" t="s">
        <v>131</v>
      </c>
      <c r="E12" s="443" t="s">
        <v>150</v>
      </c>
      <c r="F12" s="445"/>
      <c r="G12" s="446"/>
      <c r="H12" s="202"/>
      <c r="I12"/>
    </row>
    <row r="13" spans="1:9">
      <c r="A13"/>
      <c r="B13" s="448"/>
      <c r="C13" s="341"/>
      <c r="D13" s="447"/>
      <c r="E13" s="444"/>
      <c r="F13" s="445"/>
      <c r="G13" s="446"/>
      <c r="H13" s="199"/>
      <c r="I13"/>
    </row>
    <row r="14" spans="1:9">
      <c r="A14"/>
      <c r="B14" s="448"/>
      <c r="C14" s="341" t="s">
        <v>132</v>
      </c>
      <c r="D14" s="358" t="s">
        <v>170</v>
      </c>
      <c r="E14" s="359"/>
      <c r="F14" s="445"/>
      <c r="G14" s="446"/>
      <c r="H14" s="200" t="e">
        <f>H16+H18</f>
        <v>#REF!</v>
      </c>
      <c r="I14"/>
    </row>
    <row r="15" spans="1:9">
      <c r="A15"/>
      <c r="B15" s="448"/>
      <c r="C15" s="341"/>
      <c r="D15" s="358"/>
      <c r="E15" s="359"/>
      <c r="F15" s="445"/>
      <c r="G15" s="446"/>
      <c r="H15" s="201" t="e">
        <f>H17+H19</f>
        <v>#VALUE!</v>
      </c>
      <c r="I15"/>
    </row>
    <row r="16" spans="1:9">
      <c r="A16"/>
      <c r="B16" s="448"/>
      <c r="C16" s="341"/>
      <c r="D16" s="447" t="s">
        <v>129</v>
      </c>
      <c r="E16" s="452" t="s">
        <v>151</v>
      </c>
      <c r="F16" s="454"/>
      <c r="G16" s="451"/>
      <c r="H16" s="202" t="e">
        <f>SUMIF(변경내역서!$AH$5:$AH$100,"○",변경내역서!AM5:AM100)</f>
        <v>#REF!</v>
      </c>
      <c r="I16"/>
    </row>
    <row r="17" spans="1:9">
      <c r="A17"/>
      <c r="B17" s="448"/>
      <c r="C17" s="341"/>
      <c r="D17" s="447"/>
      <c r="E17" s="453"/>
      <c r="F17" s="454"/>
      <c r="G17" s="451"/>
      <c r="H17" s="199" t="e">
        <f>SUMIF(변경내역서!$AH$5:$AH$100,"★",변경내역서!AM5:AM100)</f>
        <v>#VALUE!</v>
      </c>
      <c r="I17"/>
    </row>
    <row r="18" spans="1:9">
      <c r="A18"/>
      <c r="B18" s="448"/>
      <c r="C18" s="341"/>
      <c r="D18" s="447" t="s">
        <v>131</v>
      </c>
      <c r="E18" s="452" t="s">
        <v>152</v>
      </c>
      <c r="F18" s="455" t="s">
        <v>93</v>
      </c>
      <c r="G18" s="442">
        <v>0.106</v>
      </c>
      <c r="H18" s="200" t="e">
        <f>INT(H16*G18)</f>
        <v>#REF!</v>
      </c>
      <c r="I18"/>
    </row>
    <row r="19" spans="1:9">
      <c r="A19"/>
      <c r="B19" s="448"/>
      <c r="C19" s="341"/>
      <c r="D19" s="447"/>
      <c r="E19" s="453"/>
      <c r="F19" s="455"/>
      <c r="G19" s="442"/>
      <c r="H19" s="201" t="e">
        <f>INT(H17*G18)</f>
        <v>#VALUE!</v>
      </c>
      <c r="I19"/>
    </row>
    <row r="20" spans="1:9">
      <c r="A20"/>
      <c r="B20" s="448"/>
      <c r="C20" s="341" t="s">
        <v>133</v>
      </c>
      <c r="D20" s="358" t="s">
        <v>171</v>
      </c>
      <c r="E20" s="359"/>
      <c r="F20" s="449" t="s">
        <v>190</v>
      </c>
      <c r="G20" s="451"/>
      <c r="H20" s="202" t="e">
        <f>SUM(H22,H24,H26,H28,H30,H32,H34,H36)</f>
        <v>#REF!</v>
      </c>
      <c r="I20"/>
    </row>
    <row r="21" spans="1:9">
      <c r="A21"/>
      <c r="B21" s="448"/>
      <c r="C21" s="341"/>
      <c r="D21" s="358"/>
      <c r="E21" s="359"/>
      <c r="F21" s="450"/>
      <c r="G21" s="451"/>
      <c r="H21" s="199" t="e">
        <f>SUM(H23,H25,H27,H29,H31,H33,H35,H37)</f>
        <v>#VALUE!</v>
      </c>
      <c r="I21"/>
    </row>
    <row r="22" spans="1:9">
      <c r="A22"/>
      <c r="B22" s="448"/>
      <c r="C22" s="341"/>
      <c r="D22" s="447" t="s">
        <v>129</v>
      </c>
      <c r="E22" s="452" t="s">
        <v>153</v>
      </c>
      <c r="F22" s="454"/>
      <c r="G22" s="451"/>
      <c r="H22" s="200" t="e">
        <f>SUMIF(변경내역서!$AH$5:$AH$100,"○",변경내역서!AQ5:AQ100)</f>
        <v>#REF!</v>
      </c>
      <c r="I22"/>
    </row>
    <row r="23" spans="1:9">
      <c r="A23"/>
      <c r="B23" s="448"/>
      <c r="C23" s="341"/>
      <c r="D23" s="447"/>
      <c r="E23" s="453"/>
      <c r="F23" s="454"/>
      <c r="G23" s="451"/>
      <c r="H23" s="201" t="e">
        <f>SUMIF(변경내역서!$AH$5:$AH$100,"★",변경내역서!AQ5:AQ100)</f>
        <v>#VALUE!</v>
      </c>
      <c r="I23"/>
    </row>
    <row r="24" spans="1:9">
      <c r="A24"/>
      <c r="B24" s="448"/>
      <c r="C24" s="341"/>
      <c r="D24" s="447" t="s">
        <v>131</v>
      </c>
      <c r="E24" s="452" t="s">
        <v>154</v>
      </c>
      <c r="F24" s="455" t="s">
        <v>92</v>
      </c>
      <c r="G24" s="442">
        <v>3.6999999999999998E-2</v>
      </c>
      <c r="H24" s="202" t="e">
        <f>INT((H14*G24))</f>
        <v>#REF!</v>
      </c>
      <c r="I24"/>
    </row>
    <row r="25" spans="1:9">
      <c r="A25"/>
      <c r="B25" s="448"/>
      <c r="C25" s="341"/>
      <c r="D25" s="447"/>
      <c r="E25" s="453"/>
      <c r="F25" s="455"/>
      <c r="G25" s="442"/>
      <c r="H25" s="199" t="e">
        <f>INT((H15*G24))</f>
        <v>#VALUE!</v>
      </c>
      <c r="I25"/>
    </row>
    <row r="26" spans="1:9">
      <c r="A26"/>
      <c r="B26" s="448"/>
      <c r="C26" s="341"/>
      <c r="D26" s="447" t="s">
        <v>134</v>
      </c>
      <c r="E26" s="452" t="s">
        <v>155</v>
      </c>
      <c r="F26" s="455" t="s">
        <v>91</v>
      </c>
      <c r="G26" s="442"/>
      <c r="H26" s="200">
        <f>원가계산서!V15</f>
        <v>0</v>
      </c>
      <c r="I26"/>
    </row>
    <row r="27" spans="1:9">
      <c r="A27"/>
      <c r="B27" s="448"/>
      <c r="C27" s="341"/>
      <c r="D27" s="447"/>
      <c r="E27" s="453"/>
      <c r="F27" s="455"/>
      <c r="G27" s="442"/>
      <c r="H27" s="201">
        <v>0</v>
      </c>
      <c r="I27"/>
    </row>
    <row r="28" spans="1:9">
      <c r="A28"/>
      <c r="B28" s="448"/>
      <c r="C28" s="341"/>
      <c r="D28" s="447" t="s">
        <v>135</v>
      </c>
      <c r="E28" s="452" t="s">
        <v>156</v>
      </c>
      <c r="F28" s="455" t="s">
        <v>91</v>
      </c>
      <c r="G28" s="442"/>
      <c r="H28" s="202">
        <f>원가계산서!V16</f>
        <v>0</v>
      </c>
      <c r="I28"/>
    </row>
    <row r="29" spans="1:9">
      <c r="A29"/>
      <c r="B29" s="448"/>
      <c r="C29" s="341"/>
      <c r="D29" s="447"/>
      <c r="E29" s="453"/>
      <c r="F29" s="455"/>
      <c r="G29" s="442"/>
      <c r="H29" s="199">
        <v>0</v>
      </c>
      <c r="I29"/>
    </row>
    <row r="30" spans="1:9">
      <c r="A30"/>
      <c r="B30" s="448"/>
      <c r="C30" s="341"/>
      <c r="D30" s="447" t="s">
        <v>136</v>
      </c>
      <c r="E30" s="452" t="s">
        <v>172</v>
      </c>
      <c r="F30" s="450" t="s">
        <v>90</v>
      </c>
      <c r="G30" s="442"/>
      <c r="H30" s="200">
        <f>INT((H26*G30))</f>
        <v>0</v>
      </c>
      <c r="I30"/>
    </row>
    <row r="31" spans="1:9">
      <c r="A31"/>
      <c r="B31" s="448"/>
      <c r="C31" s="341"/>
      <c r="D31" s="447"/>
      <c r="E31" s="452"/>
      <c r="F31" s="450"/>
      <c r="G31" s="442"/>
      <c r="H31" s="201">
        <f>INT((H27*G30))</f>
        <v>0</v>
      </c>
      <c r="I31"/>
    </row>
    <row r="32" spans="1:9">
      <c r="A32"/>
      <c r="B32" s="448"/>
      <c r="C32" s="341"/>
      <c r="D32" s="447" t="s">
        <v>137</v>
      </c>
      <c r="E32" s="452" t="s">
        <v>189</v>
      </c>
      <c r="F32" s="455" t="s">
        <v>89</v>
      </c>
      <c r="G32" s="442"/>
      <c r="H32" s="202"/>
      <c r="I32"/>
    </row>
    <row r="33" spans="1:10">
      <c r="A33"/>
      <c r="B33" s="448"/>
      <c r="C33" s="341"/>
      <c r="D33" s="447"/>
      <c r="E33" s="453"/>
      <c r="F33" s="455"/>
      <c r="G33" s="442"/>
      <c r="H33" s="199"/>
    </row>
    <row r="34" spans="1:10">
      <c r="A34"/>
      <c r="B34" s="448"/>
      <c r="C34" s="447"/>
      <c r="D34" s="447" t="s">
        <v>138</v>
      </c>
      <c r="E34" s="452" t="s">
        <v>173</v>
      </c>
      <c r="F34" s="455" t="s">
        <v>88</v>
      </c>
      <c r="G34" s="442">
        <v>7.9000000000000008E-3</v>
      </c>
      <c r="H34" s="200" t="e">
        <f>INT((H14)*G34)</f>
        <v>#REF!</v>
      </c>
    </row>
    <row r="35" spans="1:10">
      <c r="A35"/>
      <c r="B35" s="448"/>
      <c r="C35" s="447"/>
      <c r="D35" s="447"/>
      <c r="E35" s="453"/>
      <c r="F35" s="455"/>
      <c r="G35" s="442"/>
      <c r="H35" s="201" t="e">
        <f>INT((H15)*G34)</f>
        <v>#VALUE!</v>
      </c>
    </row>
    <row r="36" spans="1:10">
      <c r="A36"/>
      <c r="B36" s="448"/>
      <c r="C36" s="447"/>
      <c r="D36" s="447" t="s">
        <v>139</v>
      </c>
      <c r="E36" s="452" t="s">
        <v>159</v>
      </c>
      <c r="F36" s="455" t="s">
        <v>87</v>
      </c>
      <c r="G36" s="442">
        <v>6.2E-2</v>
      </c>
      <c r="H36" s="202" t="e">
        <f>INT((H8+H14)*G36)</f>
        <v>#REF!</v>
      </c>
    </row>
    <row r="37" spans="1:10">
      <c r="A37"/>
      <c r="B37" s="448"/>
      <c r="C37" s="447"/>
      <c r="D37" s="447"/>
      <c r="E37" s="453"/>
      <c r="F37" s="455"/>
      <c r="G37" s="442"/>
      <c r="H37" s="199" t="e">
        <f>INT((H9+H15)*G36)</f>
        <v>#VALUE!</v>
      </c>
    </row>
    <row r="38" spans="1:10">
      <c r="A38"/>
      <c r="B38" s="448" t="s">
        <v>141</v>
      </c>
      <c r="C38" s="358" t="s">
        <v>174</v>
      </c>
      <c r="D38" s="471"/>
      <c r="E38" s="472"/>
      <c r="F38" s="450" t="s">
        <v>86</v>
      </c>
      <c r="G38" s="442">
        <v>0.06</v>
      </c>
      <c r="H38" s="200" t="e">
        <f>INT(H6*G38)</f>
        <v>#REF!</v>
      </c>
    </row>
    <row r="39" spans="1:10">
      <c r="A39"/>
      <c r="B39" s="448"/>
      <c r="C39" s="471"/>
      <c r="D39" s="471"/>
      <c r="E39" s="472"/>
      <c r="F39" s="450"/>
      <c r="G39" s="442"/>
      <c r="H39" s="201" t="e">
        <f>INT(H7*G38)</f>
        <v>#VALUE!</v>
      </c>
    </row>
    <row r="40" spans="1:10">
      <c r="A40"/>
      <c r="B40" s="448" t="s">
        <v>177</v>
      </c>
      <c r="C40" s="358" t="s">
        <v>175</v>
      </c>
      <c r="D40" s="471"/>
      <c r="E40" s="472"/>
      <c r="F40" s="455" t="s">
        <v>85</v>
      </c>
      <c r="G40" s="442">
        <v>0.15</v>
      </c>
      <c r="H40" s="202" t="e">
        <f>TRUNC((H14+H20+H38)*G40)</f>
        <v>#REF!</v>
      </c>
      <c r="J40" s="192" t="s">
        <v>161</v>
      </c>
    </row>
    <row r="41" spans="1:10">
      <c r="A41"/>
      <c r="B41" s="448"/>
      <c r="C41" s="471"/>
      <c r="D41" s="471"/>
      <c r="E41" s="472"/>
      <c r="F41" s="455"/>
      <c r="G41" s="442"/>
      <c r="H41" s="199" t="e">
        <f>J41</f>
        <v>#VALUE!</v>
      </c>
      <c r="J41" s="177" t="e">
        <f>TRUNC((H15+H21+H39)*G40)</f>
        <v>#VALUE!</v>
      </c>
    </row>
    <row r="42" spans="1:10">
      <c r="A42"/>
      <c r="B42" s="448" t="s">
        <v>178</v>
      </c>
      <c r="C42" s="358" t="s">
        <v>176</v>
      </c>
      <c r="D42" s="471"/>
      <c r="E42" s="472"/>
      <c r="F42" s="455" t="s">
        <v>84</v>
      </c>
      <c r="G42" s="451"/>
      <c r="H42" s="200" t="e">
        <f>H40+H38+H20+H14+H8</f>
        <v>#REF!</v>
      </c>
    </row>
    <row r="43" spans="1:10">
      <c r="A43"/>
      <c r="B43" s="448"/>
      <c r="C43" s="471"/>
      <c r="D43" s="471"/>
      <c r="E43" s="472"/>
      <c r="F43" s="455"/>
      <c r="G43" s="451"/>
      <c r="H43" s="201" t="e">
        <f>H41+H39+H21+H15+H9</f>
        <v>#VALUE!</v>
      </c>
      <c r="J43" s="181"/>
    </row>
    <row r="44" spans="1:10">
      <c r="A44"/>
      <c r="B44" s="448" t="s">
        <v>179</v>
      </c>
      <c r="C44" s="358" t="s">
        <v>184</v>
      </c>
      <c r="D44" s="471"/>
      <c r="E44" s="472"/>
      <c r="F44" s="455" t="s">
        <v>83</v>
      </c>
      <c r="G44" s="456">
        <v>0.1</v>
      </c>
      <c r="H44" s="202" t="e">
        <f>INT(H42*G44)</f>
        <v>#REF!</v>
      </c>
    </row>
    <row r="45" spans="1:10">
      <c r="A45"/>
      <c r="B45" s="448"/>
      <c r="C45" s="471"/>
      <c r="D45" s="471"/>
      <c r="E45" s="472"/>
      <c r="F45" s="455"/>
      <c r="G45" s="456"/>
      <c r="H45" s="199" t="e">
        <f>INT(H43*G44)</f>
        <v>#VALUE!</v>
      </c>
    </row>
    <row r="46" spans="1:10">
      <c r="A46"/>
      <c r="B46" s="448" t="s">
        <v>180</v>
      </c>
      <c r="C46" s="358" t="s">
        <v>185</v>
      </c>
      <c r="D46" s="471"/>
      <c r="E46" s="472"/>
      <c r="F46" s="455" t="s">
        <v>34</v>
      </c>
      <c r="G46" s="454"/>
      <c r="H46" s="200" t="e">
        <f>H42+H44</f>
        <v>#REF!</v>
      </c>
    </row>
    <row r="47" spans="1:10">
      <c r="A47"/>
      <c r="B47" s="448"/>
      <c r="C47" s="471"/>
      <c r="D47" s="471"/>
      <c r="E47" s="472"/>
      <c r="F47" s="455"/>
      <c r="G47" s="454"/>
      <c r="H47" s="201" t="e">
        <f>H43+H45</f>
        <v>#VALUE!</v>
      </c>
    </row>
    <row r="48" spans="1:10">
      <c r="A48"/>
      <c r="B48" s="448" t="s">
        <v>181</v>
      </c>
      <c r="C48" s="358" t="s">
        <v>186</v>
      </c>
      <c r="D48" s="358"/>
      <c r="E48" s="359"/>
      <c r="F48" s="457"/>
      <c r="G48" s="454"/>
      <c r="H48" s="200"/>
      <c r="I48" s="35"/>
    </row>
    <row r="49" spans="1:9">
      <c r="A49"/>
      <c r="B49" s="448"/>
      <c r="C49" s="358"/>
      <c r="D49" s="358"/>
      <c r="E49" s="359"/>
      <c r="F49" s="457"/>
      <c r="G49" s="454"/>
      <c r="H49" s="201"/>
      <c r="I49" s="35"/>
    </row>
    <row r="50" spans="1:9">
      <c r="A50"/>
      <c r="B50" s="448" t="s">
        <v>182</v>
      </c>
      <c r="C50" s="358" t="s">
        <v>187</v>
      </c>
      <c r="D50" s="358"/>
      <c r="E50" s="359"/>
      <c r="F50" s="457"/>
      <c r="G50" s="454"/>
      <c r="H50" s="200">
        <v>181790</v>
      </c>
      <c r="I50" s="35"/>
    </row>
    <row r="51" spans="1:9">
      <c r="A51"/>
      <c r="B51" s="448"/>
      <c r="C51" s="358"/>
      <c r="D51" s="358"/>
      <c r="E51" s="359"/>
      <c r="F51" s="457"/>
      <c r="G51" s="454"/>
      <c r="H51" s="201">
        <v>181790</v>
      </c>
      <c r="I51" s="35"/>
    </row>
    <row r="52" spans="1:9">
      <c r="A52"/>
      <c r="B52" s="448" t="s">
        <v>183</v>
      </c>
      <c r="C52" s="474" t="s">
        <v>188</v>
      </c>
      <c r="D52" s="474"/>
      <c r="E52" s="475"/>
      <c r="F52" s="458"/>
      <c r="G52" s="451"/>
      <c r="H52" s="202" t="e">
        <f>SUM(H46,H48,H50)</f>
        <v>#REF!</v>
      </c>
    </row>
    <row r="53" spans="1:9" ht="14.25" customHeight="1" thickBot="1">
      <c r="A53"/>
      <c r="B53" s="473"/>
      <c r="C53" s="379"/>
      <c r="D53" s="379"/>
      <c r="E53" s="380"/>
      <c r="F53" s="459"/>
      <c r="G53" s="429"/>
      <c r="H53" s="198" t="e">
        <f>SUM(H47,H49,H51)</f>
        <v>#VALUE!</v>
      </c>
    </row>
  </sheetData>
  <mergeCells count="128">
    <mergeCell ref="B52:B53"/>
    <mergeCell ref="C50:E51"/>
    <mergeCell ref="C52:E53"/>
    <mergeCell ref="B46:B47"/>
    <mergeCell ref="B48:B49"/>
    <mergeCell ref="C46:E47"/>
    <mergeCell ref="C48:E49"/>
    <mergeCell ref="B42:B43"/>
    <mergeCell ref="B44:B45"/>
    <mergeCell ref="C42:E43"/>
    <mergeCell ref="C44:E45"/>
    <mergeCell ref="B38:B39"/>
    <mergeCell ref="B40:B41"/>
    <mergeCell ref="C38:E39"/>
    <mergeCell ref="C40:E41"/>
    <mergeCell ref="B50:B51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E36:E37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20:B21"/>
    <mergeCell ref="C20:C21"/>
    <mergeCell ref="D20:E21"/>
    <mergeCell ref="B22:B23"/>
    <mergeCell ref="C22:C23"/>
    <mergeCell ref="D22:D23"/>
    <mergeCell ref="B24:B25"/>
    <mergeCell ref="C24:C25"/>
    <mergeCell ref="D24:D25"/>
    <mergeCell ref="E24:E25"/>
    <mergeCell ref="F52:F53"/>
    <mergeCell ref="G52:G53"/>
    <mergeCell ref="F50:F51"/>
    <mergeCell ref="G50:G51"/>
    <mergeCell ref="B8:B9"/>
    <mergeCell ref="C8:C9"/>
    <mergeCell ref="C6:E7"/>
    <mergeCell ref="D8:E9"/>
    <mergeCell ref="F8:F9"/>
    <mergeCell ref="F6:F7"/>
    <mergeCell ref="G8:G9"/>
    <mergeCell ref="B10:B11"/>
    <mergeCell ref="C10:C11"/>
    <mergeCell ref="D10:D11"/>
    <mergeCell ref="B12:B13"/>
    <mergeCell ref="C12:C13"/>
    <mergeCell ref="D12:D13"/>
    <mergeCell ref="E10:E11"/>
    <mergeCell ref="F10:F11"/>
    <mergeCell ref="G10:G11"/>
    <mergeCell ref="B14:B15"/>
    <mergeCell ref="C14:C15"/>
    <mergeCell ref="B16:B17"/>
    <mergeCell ref="C16:C17"/>
    <mergeCell ref="F44:F45"/>
    <mergeCell ref="G44:G45"/>
    <mergeCell ref="F46:F47"/>
    <mergeCell ref="G46:G47"/>
    <mergeCell ref="F40:F41"/>
    <mergeCell ref="G40:G41"/>
    <mergeCell ref="F42:F43"/>
    <mergeCell ref="G42:G43"/>
    <mergeCell ref="F48:F49"/>
    <mergeCell ref="G48:G49"/>
    <mergeCell ref="F36:F37"/>
    <mergeCell ref="G36:G37"/>
    <mergeCell ref="F38:F39"/>
    <mergeCell ref="G38:G39"/>
    <mergeCell ref="E32:E33"/>
    <mergeCell ref="F32:F33"/>
    <mergeCell ref="G32:G33"/>
    <mergeCell ref="E34:E35"/>
    <mergeCell ref="F34:F35"/>
    <mergeCell ref="F24:F25"/>
    <mergeCell ref="G24:G25"/>
    <mergeCell ref="E26:E27"/>
    <mergeCell ref="F26:F27"/>
    <mergeCell ref="G26:G27"/>
    <mergeCell ref="G34:G35"/>
    <mergeCell ref="E28:E29"/>
    <mergeCell ref="F28:F29"/>
    <mergeCell ref="G28:G29"/>
    <mergeCell ref="E30:E31"/>
    <mergeCell ref="F30:F31"/>
    <mergeCell ref="G30:G31"/>
    <mergeCell ref="F20:F21"/>
    <mergeCell ref="G20:G21"/>
    <mergeCell ref="E22:E23"/>
    <mergeCell ref="F22:F23"/>
    <mergeCell ref="G22:G23"/>
    <mergeCell ref="E16:E17"/>
    <mergeCell ref="F16:F17"/>
    <mergeCell ref="G16:G17"/>
    <mergeCell ref="E18:E19"/>
    <mergeCell ref="F18:F19"/>
    <mergeCell ref="G6:G7"/>
    <mergeCell ref="B1:H1"/>
    <mergeCell ref="B2:H2"/>
    <mergeCell ref="B3:H3"/>
    <mergeCell ref="B4:H4"/>
    <mergeCell ref="B5:E5"/>
    <mergeCell ref="B6:B7"/>
    <mergeCell ref="G18:G19"/>
    <mergeCell ref="E12:E13"/>
    <mergeCell ref="F12:F13"/>
    <mergeCell ref="G12:G13"/>
    <mergeCell ref="F14:F15"/>
    <mergeCell ref="G14:G15"/>
    <mergeCell ref="D16:D17"/>
    <mergeCell ref="D14:E15"/>
    <mergeCell ref="B18:B19"/>
    <mergeCell ref="C18:C19"/>
    <mergeCell ref="D18:D19"/>
  </mergeCells>
  <phoneticPr fontId="2" type="noConversion"/>
  <printOptions horizontalCentered="1" verticalCentered="1"/>
  <pageMargins left="0.39370078740157483" right="0.39370078740157483" top="0.78740157480314965" bottom="0.39370078740157483" header="0" footer="0"/>
  <pageSetup paperSize="9" scale="97" orientation="portrait" r:id="rId1"/>
  <rowBreaks count="1" manualBreakCount="1">
    <brk id="53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view="pageBreakPreview" zoomScaleNormal="90" zoomScaleSheetLayoutView="100" workbookViewId="0">
      <selection activeCell="F7" sqref="F7"/>
    </sheetView>
  </sheetViews>
  <sheetFormatPr defaultRowHeight="24.95" customHeight="1"/>
  <cols>
    <col min="1" max="1" width="1.77734375" style="63" customWidth="1"/>
    <col min="2" max="2" width="8.88671875" style="63"/>
    <col min="3" max="3" width="9.88671875" style="63" customWidth="1"/>
    <col min="4" max="4" width="10.77734375" style="63" customWidth="1"/>
    <col min="5" max="5" width="8.88671875" style="63"/>
    <col min="6" max="7" width="9.88671875" style="63" customWidth="1"/>
    <col min="8" max="9" width="8.88671875" style="63"/>
    <col min="10" max="10" width="9.77734375" style="63" bestFit="1" customWidth="1"/>
    <col min="11" max="13" width="8.88671875" style="63"/>
    <col min="14" max="14" width="1.77734375" style="63" customWidth="1"/>
    <col min="15" max="16384" width="8.88671875" style="63"/>
  </cols>
  <sheetData>
    <row r="1" spans="1:14" ht="9.9499999999999993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4.95" customHeight="1">
      <c r="A2" s="65"/>
      <c r="B2" s="65"/>
      <c r="C2" s="387" t="s">
        <v>80</v>
      </c>
      <c r="D2" s="387"/>
      <c r="E2" s="387"/>
      <c r="F2" s="387"/>
      <c r="G2" s="387"/>
      <c r="H2" s="387"/>
      <c r="I2" s="387"/>
      <c r="J2" s="387"/>
      <c r="K2" s="387"/>
      <c r="L2" s="387"/>
      <c r="M2" s="65"/>
      <c r="N2" s="65"/>
    </row>
    <row r="3" spans="1:14" ht="9.9499999999999993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35.1" customHeight="1">
      <c r="A4" s="65"/>
      <c r="B4" s="86" t="s">
        <v>127</v>
      </c>
      <c r="C4" s="388"/>
      <c r="D4" s="388"/>
      <c r="E4" s="85" t="s">
        <v>126</v>
      </c>
      <c r="F4" s="84"/>
      <c r="G4" s="83" t="s">
        <v>79</v>
      </c>
      <c r="H4" s="83"/>
      <c r="I4" s="83" t="s">
        <v>78</v>
      </c>
      <c r="J4" s="82"/>
      <c r="K4" s="476">
        <v>4</v>
      </c>
      <c r="L4" s="476"/>
      <c r="M4" s="477"/>
      <c r="N4" s="65"/>
    </row>
    <row r="5" spans="1:14" ht="24.95" customHeight="1">
      <c r="A5" s="65"/>
      <c r="B5" s="74"/>
      <c r="C5" s="71"/>
      <c r="D5" s="71"/>
      <c r="E5" s="71"/>
      <c r="F5" s="71"/>
      <c r="G5" s="71"/>
      <c r="H5" s="71"/>
      <c r="I5" s="71"/>
      <c r="J5" s="71"/>
      <c r="K5" s="71"/>
      <c r="L5" s="71"/>
      <c r="M5" s="70"/>
      <c r="N5" s="65"/>
    </row>
    <row r="6" spans="1:14" ht="24.95" customHeight="1" thickBot="1">
      <c r="A6" s="65"/>
      <c r="B6" s="74"/>
      <c r="C6" s="81" t="s">
        <v>125</v>
      </c>
      <c r="D6" s="80"/>
      <c r="E6" s="80"/>
      <c r="F6" s="80"/>
      <c r="G6" s="80"/>
      <c r="H6" s="80"/>
      <c r="I6" s="80"/>
      <c r="J6" s="80"/>
      <c r="K6" s="80"/>
      <c r="L6" s="80"/>
      <c r="M6" s="70"/>
      <c r="N6" s="65"/>
    </row>
    <row r="7" spans="1:14" ht="24.95" customHeight="1" thickTop="1">
      <c r="A7" s="65"/>
      <c r="B7" s="74"/>
      <c r="C7" s="80"/>
      <c r="D7" s="80"/>
      <c r="E7" s="80"/>
      <c r="F7" s="80"/>
      <c r="G7" s="80"/>
      <c r="H7" s="80"/>
      <c r="I7" s="80"/>
      <c r="J7" s="80"/>
      <c r="K7" s="80"/>
      <c r="L7" s="80"/>
      <c r="M7" s="70"/>
      <c r="N7" s="65"/>
    </row>
    <row r="8" spans="1:14" ht="24.95" customHeight="1">
      <c r="A8" s="65"/>
      <c r="B8" s="74"/>
      <c r="C8" s="80"/>
      <c r="D8" s="80"/>
      <c r="E8" s="80"/>
      <c r="F8" s="80"/>
      <c r="G8" s="80"/>
      <c r="H8" s="80"/>
      <c r="I8" s="80"/>
      <c r="J8" s="80"/>
      <c r="K8" s="80"/>
      <c r="L8" s="80"/>
      <c r="M8" s="70"/>
      <c r="N8" s="65"/>
    </row>
    <row r="9" spans="1:14" ht="24.95" customHeight="1">
      <c r="A9" s="65"/>
      <c r="B9" s="478" t="str">
        <f>변경내역서!AF1</f>
        <v xml:space="preserve">신천좌안도로 가창우체국 앞 외 1개소 차광망 설치공사 </v>
      </c>
      <c r="C9" s="479"/>
      <c r="D9" s="479"/>
      <c r="E9" s="479"/>
      <c r="F9" s="479"/>
      <c r="G9" s="479"/>
      <c r="H9" s="479"/>
      <c r="I9" s="479"/>
      <c r="J9" s="79" t="s">
        <v>119</v>
      </c>
      <c r="K9" s="78"/>
      <c r="L9" s="78"/>
      <c r="M9" s="70"/>
      <c r="N9" s="65"/>
    </row>
    <row r="10" spans="1:14" ht="24.95" customHeight="1">
      <c r="A10" s="65"/>
      <c r="B10" s="178"/>
      <c r="C10" s="179"/>
      <c r="D10" s="179"/>
      <c r="E10" s="179"/>
      <c r="F10" s="179"/>
      <c r="G10" s="179"/>
      <c r="H10" s="179"/>
      <c r="I10" s="179"/>
      <c r="J10" s="79"/>
      <c r="K10" s="78"/>
      <c r="L10" s="78"/>
      <c r="M10" s="70"/>
      <c r="N10" s="65"/>
    </row>
    <row r="11" spans="1:14" ht="24.95" customHeight="1">
      <c r="A11" s="65"/>
      <c r="B11" s="77"/>
      <c r="C11" s="76"/>
      <c r="D11" s="76"/>
      <c r="E11" s="76"/>
      <c r="F11" s="76"/>
      <c r="G11" s="76"/>
      <c r="H11" s="76"/>
      <c r="I11" s="76"/>
      <c r="J11" s="71"/>
      <c r="K11" s="71"/>
      <c r="L11" s="71"/>
      <c r="M11" s="70"/>
      <c r="N11" s="65"/>
    </row>
    <row r="12" spans="1:14" ht="15" customHeight="1">
      <c r="A12" s="65"/>
      <c r="B12" s="74"/>
      <c r="C12" s="71"/>
      <c r="D12" s="180" t="e">
        <f>NUMBERSTRING(D14,1)</f>
        <v>#REF!</v>
      </c>
      <c r="E12" s="71"/>
      <c r="F12" s="71"/>
      <c r="G12" s="71"/>
      <c r="H12" s="71"/>
      <c r="I12" s="480" t="s">
        <v>120</v>
      </c>
      <c r="J12" s="480"/>
      <c r="K12" s="480"/>
      <c r="L12" s="480"/>
      <c r="M12" s="481"/>
      <c r="N12" s="65"/>
    </row>
    <row r="13" spans="1:14" ht="15" customHeight="1">
      <c r="A13" s="65"/>
      <c r="B13" s="74"/>
      <c r="C13" s="71" t="s">
        <v>77</v>
      </c>
      <c r="D13" s="136" t="e">
        <f>NUMBERSTRING(D15,1)</f>
        <v>#VALUE!</v>
      </c>
      <c r="E13" s="136"/>
      <c r="F13" s="136"/>
      <c r="G13" s="71"/>
      <c r="H13" s="71" t="s">
        <v>76</v>
      </c>
      <c r="I13" s="482" t="s">
        <v>123</v>
      </c>
      <c r="J13" s="482"/>
      <c r="K13" s="482"/>
      <c r="L13" s="482"/>
      <c r="M13" s="483"/>
      <c r="N13" s="65"/>
    </row>
    <row r="14" spans="1:14" ht="15" customHeight="1">
      <c r="A14" s="65"/>
      <c r="B14" s="74"/>
      <c r="C14" s="71"/>
      <c r="D14" s="484" t="e">
        <f>SUM(E20,E22,E24)</f>
        <v>#REF!</v>
      </c>
      <c r="E14" s="484"/>
      <c r="F14" s="484"/>
      <c r="G14" s="71"/>
      <c r="H14" s="71"/>
      <c r="I14" s="485" t="s">
        <v>121</v>
      </c>
      <c r="J14" s="485"/>
      <c r="K14" s="485"/>
      <c r="L14" s="485"/>
      <c r="M14" s="486"/>
      <c r="N14" s="65"/>
    </row>
    <row r="15" spans="1:14" ht="15" customHeight="1">
      <c r="A15" s="65"/>
      <c r="B15" s="74"/>
      <c r="C15" s="71"/>
      <c r="D15" s="384" t="e">
        <f>SUM(E21,E23,E25)</f>
        <v>#VALUE!</v>
      </c>
      <c r="E15" s="384"/>
      <c r="F15" s="384"/>
      <c r="G15" s="71"/>
      <c r="H15" s="71"/>
      <c r="I15" s="487" t="s">
        <v>124</v>
      </c>
      <c r="J15" s="487"/>
      <c r="K15" s="487"/>
      <c r="L15" s="487"/>
      <c r="M15" s="488"/>
      <c r="N15" s="65"/>
    </row>
    <row r="16" spans="1:14" ht="15" customHeight="1">
      <c r="A16" s="65"/>
      <c r="B16" s="74"/>
      <c r="C16" s="71"/>
      <c r="D16" s="73"/>
      <c r="E16" s="73"/>
      <c r="F16" s="73"/>
      <c r="G16" s="71"/>
      <c r="H16" s="71"/>
      <c r="I16" s="489" t="str">
        <f>갑지!I15</f>
        <v>지주(∮50.8*590) : 83개</v>
      </c>
      <c r="J16" s="489"/>
      <c r="K16" s="489"/>
      <c r="L16" s="489"/>
      <c r="M16" s="490"/>
      <c r="N16" s="65"/>
    </row>
    <row r="17" spans="1:14" ht="15" customHeight="1">
      <c r="A17" s="65"/>
      <c r="B17" s="74"/>
      <c r="C17" s="71"/>
      <c r="D17" s="73"/>
      <c r="E17" s="73"/>
      <c r="F17" s="73"/>
      <c r="G17" s="71"/>
      <c r="H17" s="71"/>
      <c r="I17" s="382" t="s">
        <v>122</v>
      </c>
      <c r="J17" s="382"/>
      <c r="K17" s="382"/>
      <c r="L17" s="382"/>
      <c r="M17" s="383"/>
      <c r="N17" s="65"/>
    </row>
    <row r="18" spans="1:14" ht="15" customHeight="1">
      <c r="A18" s="65"/>
      <c r="B18" s="74"/>
      <c r="C18" s="71"/>
      <c r="D18" s="73"/>
      <c r="E18" s="73"/>
      <c r="F18" s="73"/>
      <c r="G18" s="71"/>
      <c r="H18" s="71"/>
      <c r="I18" s="493"/>
      <c r="J18" s="493"/>
      <c r="K18" s="493"/>
      <c r="L18" s="493"/>
      <c r="M18" s="494"/>
      <c r="N18" s="65"/>
    </row>
    <row r="19" spans="1:14" ht="15" customHeight="1">
      <c r="A19" s="65"/>
      <c r="B19" s="74"/>
      <c r="C19" s="71"/>
      <c r="D19" s="73"/>
      <c r="E19" s="73"/>
      <c r="F19" s="73"/>
      <c r="G19" s="71"/>
      <c r="H19" s="71"/>
      <c r="I19" s="73"/>
      <c r="J19" s="73"/>
      <c r="K19" s="73"/>
      <c r="L19" s="73"/>
      <c r="M19" s="70"/>
      <c r="N19" s="65"/>
    </row>
    <row r="20" spans="1:14" ht="15" customHeight="1">
      <c r="A20" s="65"/>
      <c r="B20" s="74"/>
      <c r="C20" s="71"/>
      <c r="D20" s="491" t="s">
        <v>74</v>
      </c>
      <c r="E20" s="495" t="e">
        <f>변경원가계산!H46</f>
        <v>#REF!</v>
      </c>
      <c r="F20" s="495"/>
      <c r="G20" s="71"/>
      <c r="H20" s="71"/>
      <c r="I20" s="73"/>
      <c r="J20" s="73"/>
      <c r="K20" s="73"/>
      <c r="L20" s="73"/>
      <c r="M20" s="70"/>
      <c r="N20" s="65"/>
    </row>
    <row r="21" spans="1:14" ht="15" customHeight="1">
      <c r="A21" s="65"/>
      <c r="B21" s="74"/>
      <c r="C21" s="71" t="s">
        <v>75</v>
      </c>
      <c r="D21" s="491"/>
      <c r="E21" s="384" t="e">
        <f>변경원가계산!H47</f>
        <v>#VALUE!</v>
      </c>
      <c r="F21" s="384"/>
      <c r="G21" s="71"/>
      <c r="H21" s="71"/>
      <c r="I21" s="71"/>
      <c r="J21" s="71"/>
      <c r="K21" s="71"/>
      <c r="L21" s="71"/>
      <c r="M21" s="70"/>
      <c r="N21" s="65"/>
    </row>
    <row r="22" spans="1:14" ht="15" customHeight="1">
      <c r="A22" s="65"/>
      <c r="B22" s="74"/>
      <c r="C22" s="71"/>
      <c r="D22" s="491" t="s">
        <v>110</v>
      </c>
      <c r="E22" s="484">
        <f>변경원가계산!H48</f>
        <v>0</v>
      </c>
      <c r="F22" s="484"/>
      <c r="G22" s="71"/>
      <c r="H22" s="71"/>
      <c r="I22" s="71"/>
      <c r="J22" s="71"/>
      <c r="K22" s="71"/>
      <c r="L22" s="71"/>
      <c r="M22" s="70"/>
      <c r="N22" s="65"/>
    </row>
    <row r="23" spans="1:14" ht="15" customHeight="1">
      <c r="A23" s="65"/>
      <c r="B23" s="74"/>
      <c r="C23" s="71"/>
      <c r="D23" s="491"/>
      <c r="E23" s="384">
        <f>변경원가계산!H49</f>
        <v>0</v>
      </c>
      <c r="F23" s="384"/>
      <c r="G23" s="71"/>
      <c r="H23" s="71"/>
      <c r="I23" s="71"/>
      <c r="J23" s="71"/>
      <c r="K23" s="71"/>
      <c r="L23" s="71"/>
      <c r="M23" s="70"/>
      <c r="N23" s="65"/>
    </row>
    <row r="24" spans="1:14" ht="15" customHeight="1">
      <c r="A24" s="65"/>
      <c r="B24" s="74"/>
      <c r="C24" s="71"/>
      <c r="D24" s="491" t="s">
        <v>111</v>
      </c>
      <c r="E24" s="484">
        <f>변경원가계산!H50</f>
        <v>181790</v>
      </c>
      <c r="F24" s="484"/>
      <c r="G24" s="71"/>
      <c r="H24" s="71"/>
      <c r="I24" s="71"/>
      <c r="J24" s="71"/>
      <c r="K24" s="71"/>
      <c r="L24" s="71"/>
      <c r="M24" s="70"/>
      <c r="N24" s="65"/>
    </row>
    <row r="25" spans="1:14" ht="15" customHeight="1">
      <c r="A25" s="65"/>
      <c r="B25" s="74"/>
      <c r="C25" s="71"/>
      <c r="D25" s="491"/>
      <c r="E25" s="384">
        <f>변경원가계산!H51</f>
        <v>181790</v>
      </c>
      <c r="F25" s="384"/>
      <c r="G25" s="71"/>
      <c r="H25" s="71"/>
      <c r="I25" s="71"/>
      <c r="J25" s="72"/>
      <c r="K25" s="71"/>
      <c r="L25" s="71"/>
      <c r="M25" s="70"/>
      <c r="N25" s="65"/>
    </row>
    <row r="26" spans="1:14" ht="24.95" customHeight="1" thickBot="1">
      <c r="A26" s="65"/>
      <c r="B26" s="69"/>
      <c r="C26" s="67"/>
      <c r="D26" s="68"/>
      <c r="E26" s="492"/>
      <c r="F26" s="492"/>
      <c r="G26" s="67"/>
      <c r="H26" s="67"/>
      <c r="I26" s="67"/>
      <c r="J26" s="67"/>
      <c r="K26" s="67"/>
      <c r="L26" s="67"/>
      <c r="M26" s="66"/>
      <c r="N26" s="65"/>
    </row>
    <row r="27" spans="1:14" ht="9.9499999999999993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4.95" customHeight="1">
      <c r="C28" s="64" t="e">
        <f>"공사금액 : 일금"&amp;NUMBERSTRING(D15,1)&amp;"원정"&amp;TEXT(D15,"(일금0,00원정)")</f>
        <v>#VALUE!</v>
      </c>
    </row>
  </sheetData>
  <mergeCells count="23">
    <mergeCell ref="D24:D25"/>
    <mergeCell ref="E24:F24"/>
    <mergeCell ref="E25:F25"/>
    <mergeCell ref="E26:F26"/>
    <mergeCell ref="I18:M18"/>
    <mergeCell ref="D20:D21"/>
    <mergeCell ref="E20:F20"/>
    <mergeCell ref="E21:F21"/>
    <mergeCell ref="D22:D23"/>
    <mergeCell ref="E22:F22"/>
    <mergeCell ref="I13:M13"/>
    <mergeCell ref="E23:F23"/>
    <mergeCell ref="D14:F14"/>
    <mergeCell ref="I14:M14"/>
    <mergeCell ref="D15:F15"/>
    <mergeCell ref="I15:M15"/>
    <mergeCell ref="I16:M16"/>
    <mergeCell ref="I17:M17"/>
    <mergeCell ref="C2:L2"/>
    <mergeCell ref="C4:D4"/>
    <mergeCell ref="K4:M4"/>
    <mergeCell ref="B9:I9"/>
    <mergeCell ref="I12:M12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M21"/>
  <sheetViews>
    <sheetView view="pageBreakPreview" zoomScaleSheetLayoutView="100" workbookViewId="0">
      <selection activeCell="I12" sqref="I12"/>
    </sheetView>
  </sheetViews>
  <sheetFormatPr defaultRowHeight="24.95" customHeight="1"/>
  <cols>
    <col min="1" max="1" width="1.77734375" style="87" customWidth="1"/>
    <col min="2" max="13" width="8.88671875" style="87"/>
    <col min="14" max="14" width="1.77734375" style="87" customWidth="1"/>
    <col min="15" max="16384" width="8.88671875" style="87"/>
  </cols>
  <sheetData>
    <row r="1" spans="2:13" ht="24.95" customHeight="1" thickBot="1"/>
    <row r="2" spans="2:13" ht="24.95" customHeight="1" thickTop="1"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5"/>
    </row>
    <row r="3" spans="2:13" ht="24.95" customHeight="1">
      <c r="B3" s="94"/>
      <c r="C3" s="93"/>
      <c r="D3" s="93"/>
      <c r="E3" s="93"/>
      <c r="F3" s="93"/>
      <c r="G3" s="93"/>
      <c r="H3" s="93"/>
      <c r="I3" s="93"/>
      <c r="J3" s="93"/>
      <c r="K3" s="93"/>
      <c r="L3" s="93"/>
      <c r="M3" s="91"/>
    </row>
    <row r="4" spans="2:13" ht="24.95" customHeight="1"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1"/>
    </row>
    <row r="5" spans="2:13" ht="24.95" customHeight="1">
      <c r="B5" s="94"/>
      <c r="C5" s="496" t="s">
        <v>118</v>
      </c>
      <c r="D5" s="496"/>
      <c r="E5" s="496"/>
      <c r="F5" s="496"/>
      <c r="G5" s="496"/>
      <c r="H5" s="496"/>
      <c r="I5" s="496"/>
      <c r="J5" s="496"/>
      <c r="K5" s="496"/>
      <c r="L5" s="496"/>
      <c r="M5" s="91"/>
    </row>
    <row r="6" spans="2:13" ht="24.95" customHeight="1">
      <c r="B6" s="94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91"/>
    </row>
    <row r="7" spans="2:13" ht="24.95" customHeight="1"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1"/>
    </row>
    <row r="8" spans="2:13" ht="24.95" customHeight="1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1"/>
    </row>
    <row r="9" spans="2:13" ht="24.95" customHeight="1">
      <c r="B9" s="497" t="s">
        <v>81</v>
      </c>
      <c r="C9" s="498"/>
      <c r="D9" s="499" t="str">
        <f>갑지!B10</f>
        <v xml:space="preserve">신천좌안도로 가창우체국 앞 외 1개소 차광망 설치공사 </v>
      </c>
      <c r="E9" s="499"/>
      <c r="F9" s="499"/>
      <c r="G9" s="499"/>
      <c r="H9" s="499"/>
      <c r="I9" s="499"/>
      <c r="J9" s="499"/>
      <c r="K9" s="499"/>
      <c r="L9" s="499"/>
      <c r="M9" s="500"/>
    </row>
    <row r="10" spans="2:13" ht="24.95" customHeight="1">
      <c r="B10" s="497"/>
      <c r="C10" s="498"/>
      <c r="D10" s="499"/>
      <c r="E10" s="499"/>
      <c r="F10" s="499"/>
      <c r="G10" s="499"/>
      <c r="H10" s="499"/>
      <c r="I10" s="499"/>
      <c r="J10" s="499"/>
      <c r="K10" s="499"/>
      <c r="L10" s="499"/>
      <c r="M10" s="500"/>
    </row>
    <row r="11" spans="2:13" ht="24.95" customHeight="1"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1"/>
    </row>
    <row r="12" spans="2:13" ht="24.95" customHeight="1">
      <c r="B12" s="9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1"/>
    </row>
    <row r="13" spans="2:13" ht="24.95" customHeight="1"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1"/>
    </row>
    <row r="14" spans="2:13" ht="24.95" customHeight="1">
      <c r="B14" s="94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1"/>
    </row>
    <row r="15" spans="2:13" ht="24.95" customHeight="1">
      <c r="B15" s="9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1"/>
    </row>
    <row r="16" spans="2:13" ht="24.95" customHeight="1"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1"/>
    </row>
    <row r="17" spans="2:13" ht="24.95" customHeight="1"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1"/>
    </row>
    <row r="18" spans="2:13" ht="24.95" customHeight="1">
      <c r="B18" s="94"/>
      <c r="C18" s="93"/>
      <c r="D18" s="93"/>
      <c r="E18" s="93"/>
      <c r="G18" s="501" t="s">
        <v>109</v>
      </c>
      <c r="H18" s="501"/>
      <c r="I18" s="501"/>
      <c r="J18" s="501"/>
      <c r="K18" s="501"/>
      <c r="L18" s="501"/>
      <c r="M18" s="91"/>
    </row>
    <row r="19" spans="2:13" ht="24.95" customHeight="1">
      <c r="B19" s="94"/>
      <c r="C19" s="93"/>
      <c r="D19" s="93"/>
      <c r="E19" s="93"/>
      <c r="F19" s="92"/>
      <c r="G19" s="501"/>
      <c r="H19" s="501"/>
      <c r="I19" s="501"/>
      <c r="J19" s="501"/>
      <c r="K19" s="501"/>
      <c r="L19" s="501"/>
      <c r="M19" s="91"/>
    </row>
    <row r="20" spans="2:13" ht="24.95" customHeight="1" thickBot="1"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8"/>
    </row>
    <row r="21" spans="2:13" ht="24.95" customHeight="1" thickTop="1"/>
  </sheetData>
  <mergeCells count="4">
    <mergeCell ref="C5:L6"/>
    <mergeCell ref="B9:C10"/>
    <mergeCell ref="D9:M10"/>
    <mergeCell ref="G18:L19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O305"/>
  <sheetViews>
    <sheetView showZeros="0" view="pageBreakPreview" zoomScaleSheetLayoutView="100" workbookViewId="0">
      <selection activeCell="B1" sqref="B1:I2"/>
    </sheetView>
  </sheetViews>
  <sheetFormatPr defaultRowHeight="24.95" customHeight="1"/>
  <cols>
    <col min="1" max="1" width="1.77734375" style="113" customWidth="1"/>
    <col min="2" max="2" width="20.77734375" style="114" customWidth="1"/>
    <col min="3" max="3" width="10.77734375" style="114" customWidth="1"/>
    <col min="4" max="4" width="4.77734375" style="114" customWidth="1"/>
    <col min="5" max="5" width="8.5546875" style="109" bestFit="1" customWidth="1"/>
    <col min="6" max="6" width="4.77734375" style="114" customWidth="1"/>
    <col min="7" max="7" width="8.5546875" style="110" bestFit="1" customWidth="1"/>
    <col min="8" max="8" width="48.77734375" style="255" customWidth="1"/>
    <col min="9" max="9" width="11.77734375" style="127" customWidth="1"/>
    <col min="10" max="10" width="1.77734375" style="114" customWidth="1"/>
    <col min="11" max="16384" width="8.88671875" style="114"/>
  </cols>
  <sheetData>
    <row r="1" spans="1:93" ht="24.95" customHeight="1">
      <c r="B1" s="336" t="s">
        <v>103</v>
      </c>
      <c r="C1" s="336"/>
      <c r="D1" s="336"/>
      <c r="E1" s="336"/>
      <c r="F1" s="336"/>
      <c r="G1" s="336"/>
      <c r="H1" s="336"/>
      <c r="I1" s="336"/>
    </row>
    <row r="2" spans="1:93" ht="24.95" customHeight="1">
      <c r="B2" s="336"/>
      <c r="C2" s="336"/>
      <c r="D2" s="336"/>
      <c r="E2" s="336"/>
      <c r="F2" s="336"/>
      <c r="G2" s="336"/>
      <c r="H2" s="336"/>
      <c r="I2" s="336"/>
    </row>
    <row r="3" spans="1:93" ht="24.95" customHeight="1">
      <c r="A3" s="116"/>
      <c r="B3" s="117" t="s">
        <v>104</v>
      </c>
      <c r="C3" s="117" t="s">
        <v>4</v>
      </c>
      <c r="D3" s="117" t="s">
        <v>105</v>
      </c>
      <c r="E3" s="118" t="s">
        <v>0</v>
      </c>
      <c r="F3" s="117" t="s">
        <v>106</v>
      </c>
      <c r="G3" s="119" t="s">
        <v>1</v>
      </c>
      <c r="H3" s="251" t="s">
        <v>107</v>
      </c>
      <c r="I3" s="182" t="s">
        <v>101</v>
      </c>
    </row>
    <row r="4" spans="1:93" ht="24.95" customHeight="1">
      <c r="A4" s="116"/>
      <c r="B4" s="337" t="s">
        <v>235</v>
      </c>
      <c r="C4" s="338"/>
      <c r="D4" s="23" t="s">
        <v>211</v>
      </c>
      <c r="E4" s="122" t="s">
        <v>210</v>
      </c>
      <c r="F4" s="123"/>
      <c r="G4" s="122" t="s">
        <v>210</v>
      </c>
      <c r="H4" s="252" t="s">
        <v>210</v>
      </c>
      <c r="I4" s="108" t="s">
        <v>211</v>
      </c>
    </row>
    <row r="5" spans="1:93" ht="24.95" customHeight="1">
      <c r="A5" s="116"/>
      <c r="B5" s="120" t="s">
        <v>221</v>
      </c>
      <c r="C5" s="1" t="s">
        <v>226</v>
      </c>
      <c r="D5" s="23" t="s">
        <v>237</v>
      </c>
      <c r="E5" s="122">
        <f>SUM(F5:G5)</f>
        <v>328</v>
      </c>
      <c r="F5" s="123"/>
      <c r="G5" s="122">
        <v>328</v>
      </c>
      <c r="H5" s="252" t="s">
        <v>272</v>
      </c>
      <c r="I5" s="318" t="s">
        <v>210</v>
      </c>
    </row>
    <row r="6" spans="1:93" ht="24.95" customHeight="1">
      <c r="A6" s="116"/>
      <c r="B6" s="120" t="s">
        <v>222</v>
      </c>
      <c r="C6" s="1" t="s">
        <v>236</v>
      </c>
      <c r="D6" s="23" t="s">
        <v>223</v>
      </c>
      <c r="E6" s="320">
        <f>SUM(G6)</f>
        <v>82</v>
      </c>
      <c r="F6" s="123"/>
      <c r="G6" s="122">
        <v>82</v>
      </c>
      <c r="H6" s="252" t="s">
        <v>273</v>
      </c>
      <c r="I6" s="321"/>
    </row>
    <row r="7" spans="1:93" ht="24.95" customHeight="1">
      <c r="A7" s="116"/>
      <c r="B7" s="120" t="s">
        <v>224</v>
      </c>
      <c r="C7" s="1" t="s">
        <v>238</v>
      </c>
      <c r="D7" s="23" t="s">
        <v>209</v>
      </c>
      <c r="E7" s="122">
        <f>SUM(F7:G7)</f>
        <v>83</v>
      </c>
      <c r="F7" s="123"/>
      <c r="G7" s="122">
        <v>83</v>
      </c>
      <c r="H7" s="252" t="s">
        <v>274</v>
      </c>
      <c r="I7" s="321"/>
    </row>
    <row r="8" spans="1:93" ht="24.95" customHeight="1">
      <c r="A8" s="116"/>
      <c r="B8" s="120" t="s">
        <v>234</v>
      </c>
      <c r="C8" s="1" t="s">
        <v>239</v>
      </c>
      <c r="D8" s="23" t="s">
        <v>209</v>
      </c>
      <c r="E8" s="122" t="e">
        <f>SUM(F8:G8)</f>
        <v>#NAME?</v>
      </c>
      <c r="F8" s="123"/>
      <c r="G8" s="122" t="e">
        <f>영구</f>
        <v>#NAME?</v>
      </c>
      <c r="H8" s="319" t="s">
        <v>275</v>
      </c>
      <c r="I8" s="321"/>
    </row>
    <row r="9" spans="1:93" ht="24.95" customHeight="1">
      <c r="A9" s="116"/>
      <c r="B9" s="120" t="s">
        <v>254</v>
      </c>
      <c r="C9" s="1" t="s">
        <v>255</v>
      </c>
      <c r="D9" s="23" t="s">
        <v>209</v>
      </c>
      <c r="E9" s="122" t="e">
        <f>SUM(F9:G9)</f>
        <v>#NAME?</v>
      </c>
      <c r="F9" s="123"/>
      <c r="G9" s="122" t="e">
        <f>영구</f>
        <v>#NAME?</v>
      </c>
      <c r="H9" s="252" t="s">
        <v>276</v>
      </c>
      <c r="I9" s="321"/>
    </row>
    <row r="10" spans="1:93" ht="24.95" customHeight="1">
      <c r="A10" s="116"/>
      <c r="B10" s="120" t="s">
        <v>265</v>
      </c>
      <c r="C10" s="1" t="s">
        <v>282</v>
      </c>
      <c r="D10" s="23" t="s">
        <v>209</v>
      </c>
      <c r="E10" s="122" t="e">
        <f>TRUNC(SUM(F10:G10),0)</f>
        <v>#NAME?</v>
      </c>
      <c r="F10" s="122"/>
      <c r="G10" s="122" t="e">
        <f>영구</f>
        <v>#NAME?</v>
      </c>
      <c r="H10" s="252" t="s">
        <v>276</v>
      </c>
      <c r="I10" s="321"/>
    </row>
    <row r="11" spans="1:93" ht="24.95" customHeight="1">
      <c r="A11" s="116"/>
      <c r="B11" s="120" t="s">
        <v>245</v>
      </c>
      <c r="C11" s="121" t="s">
        <v>246</v>
      </c>
      <c r="D11" s="23" t="s">
        <v>256</v>
      </c>
      <c r="E11" s="327">
        <f>SUM(F11:G11)</f>
        <v>9.58</v>
      </c>
      <c r="F11" s="123"/>
      <c r="G11" s="327">
        <v>9.58</v>
      </c>
      <c r="H11" s="252" t="s">
        <v>277</v>
      </c>
      <c r="I11" s="108" t="s">
        <v>210</v>
      </c>
    </row>
    <row r="12" spans="1:93" ht="24.95" customHeight="1">
      <c r="A12" s="116"/>
      <c r="B12" s="120" t="s">
        <v>212</v>
      </c>
      <c r="C12" s="121" t="s">
        <v>204</v>
      </c>
      <c r="D12" s="23" t="s">
        <v>203</v>
      </c>
      <c r="E12" s="122" t="e">
        <f>TRUNC(SUM(F12:G12),0)</f>
        <v>#NAME?</v>
      </c>
      <c r="F12" s="122"/>
      <c r="G12" s="122" t="e">
        <f>영구</f>
        <v>#NAME?</v>
      </c>
      <c r="H12" s="252" t="s">
        <v>280</v>
      </c>
      <c r="I12" s="108" t="s">
        <v>213</v>
      </c>
    </row>
    <row r="13" spans="1:93" ht="24.95" customHeight="1">
      <c r="A13" s="116"/>
      <c r="B13" s="120" t="s">
        <v>242</v>
      </c>
      <c r="C13" s="121" t="s">
        <v>215</v>
      </c>
      <c r="D13" s="23" t="s">
        <v>12</v>
      </c>
      <c r="E13" s="122" t="e">
        <f>SUM(F13:G13)</f>
        <v>#NAME?</v>
      </c>
      <c r="F13" s="123"/>
      <c r="G13" s="122" t="e">
        <f>TRUNC(영구,0)</f>
        <v>#NAME?</v>
      </c>
      <c r="H13" s="252" t="s">
        <v>281</v>
      </c>
      <c r="I13" s="108" t="s">
        <v>214</v>
      </c>
    </row>
    <row r="14" spans="1:93" ht="24.95" customHeight="1">
      <c r="A14" s="116"/>
      <c r="B14" s="128" t="s">
        <v>216</v>
      </c>
      <c r="C14" s="121" t="s">
        <v>210</v>
      </c>
      <c r="D14" s="23" t="s">
        <v>209</v>
      </c>
      <c r="E14" s="122" t="e">
        <f>SUM(F14:G14)</f>
        <v>#NAME?</v>
      </c>
      <c r="F14" s="123"/>
      <c r="G14" s="122" t="e">
        <f>TRUNC(영구,0)</f>
        <v>#NAME?</v>
      </c>
      <c r="H14" s="252">
        <v>3</v>
      </c>
      <c r="I14" s="317" t="s">
        <v>210</v>
      </c>
    </row>
    <row r="15" spans="1:93" s="115" customFormat="1" ht="24.95" customHeight="1">
      <c r="A15" s="116"/>
      <c r="B15" s="128" t="s">
        <v>248</v>
      </c>
      <c r="C15" s="121"/>
      <c r="D15" s="23" t="s">
        <v>269</v>
      </c>
      <c r="E15" s="122">
        <f>SUM(F15:G15)</f>
        <v>570</v>
      </c>
      <c r="F15" s="123"/>
      <c r="G15" s="122">
        <v>570</v>
      </c>
      <c r="H15" s="252" t="s">
        <v>286</v>
      </c>
      <c r="I15" s="317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</row>
    <row r="16" spans="1:93" s="115" customFormat="1" ht="24.95" customHeight="1">
      <c r="A16" s="116"/>
      <c r="B16" s="120" t="s">
        <v>288</v>
      </c>
      <c r="C16" s="121"/>
      <c r="D16" s="23" t="s">
        <v>220</v>
      </c>
      <c r="E16" s="122">
        <v>55</v>
      </c>
      <c r="F16" s="123"/>
      <c r="G16" s="122">
        <v>55</v>
      </c>
      <c r="H16" s="252" t="s">
        <v>278</v>
      </c>
      <c r="I16" s="306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</row>
    <row r="17" spans="1:93" s="115" customFormat="1" ht="24.95" customHeight="1">
      <c r="A17" s="116"/>
      <c r="B17" s="120" t="s">
        <v>289</v>
      </c>
      <c r="C17" s="121" t="s">
        <v>291</v>
      </c>
      <c r="D17" s="23" t="s">
        <v>247</v>
      </c>
      <c r="E17" s="327">
        <v>16.600000000000001</v>
      </c>
      <c r="F17" s="123"/>
      <c r="G17" s="327">
        <v>16.600000000000001</v>
      </c>
      <c r="H17" s="252" t="s">
        <v>290</v>
      </c>
      <c r="I17" s="305" t="s">
        <v>298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</row>
    <row r="18" spans="1:93" s="115" customFormat="1" ht="24.95" customHeight="1">
      <c r="A18" s="116"/>
      <c r="B18" s="120"/>
      <c r="C18" s="121"/>
      <c r="D18" s="23"/>
      <c r="E18" s="122"/>
      <c r="F18" s="123"/>
      <c r="G18" s="122"/>
      <c r="H18" s="252" t="s">
        <v>299</v>
      </c>
      <c r="I18" s="108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</row>
    <row r="19" spans="1:93" s="115" customFormat="1" ht="24.95" customHeight="1">
      <c r="A19" s="116"/>
      <c r="B19" s="120"/>
      <c r="C19" s="121"/>
      <c r="D19" s="23"/>
      <c r="E19" s="122"/>
      <c r="F19" s="123"/>
      <c r="G19" s="122"/>
      <c r="H19" s="252" t="s">
        <v>300</v>
      </c>
      <c r="I19" s="108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</row>
    <row r="20" spans="1:93" s="115" customFormat="1" ht="24.95" customHeight="1">
      <c r="A20" s="116"/>
      <c r="B20" s="120"/>
      <c r="C20" s="121"/>
      <c r="D20" s="23"/>
      <c r="E20" s="122"/>
      <c r="F20" s="122"/>
      <c r="G20" s="122"/>
      <c r="H20" s="252"/>
      <c r="I20" s="108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</row>
    <row r="21" spans="1:93" s="115" customFormat="1" ht="24.95" customHeight="1">
      <c r="A21" s="116"/>
      <c r="B21" s="120"/>
      <c r="C21" s="121"/>
      <c r="D21" s="23"/>
      <c r="E21" s="122"/>
      <c r="F21" s="123"/>
      <c r="G21" s="122"/>
      <c r="H21" s="252"/>
      <c r="I21" s="108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</row>
    <row r="22" spans="1:93" s="115" customFormat="1" ht="23.1" customHeight="1">
      <c r="A22" s="116"/>
      <c r="B22" s="128"/>
      <c r="C22" s="121"/>
      <c r="D22" s="23"/>
      <c r="E22" s="122"/>
      <c r="F22" s="123"/>
      <c r="G22" s="122"/>
      <c r="H22" s="252"/>
      <c r="I22" s="108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</row>
    <row r="23" spans="1:93" s="115" customFormat="1" ht="23.1" customHeight="1">
      <c r="A23" s="116"/>
      <c r="B23" s="128"/>
      <c r="C23" s="121"/>
      <c r="D23" s="23"/>
      <c r="E23" s="122"/>
      <c r="F23" s="123"/>
      <c r="G23" s="122"/>
      <c r="H23" s="252"/>
      <c r="I23" s="108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</row>
    <row r="24" spans="1:93" s="115" customFormat="1" ht="23.1" customHeight="1">
      <c r="A24" s="116"/>
      <c r="B24" s="128"/>
      <c r="C24" s="121"/>
      <c r="D24" s="23"/>
      <c r="E24" s="122"/>
      <c r="F24" s="123"/>
      <c r="G24" s="122"/>
      <c r="H24" s="252"/>
      <c r="I24" s="108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</row>
    <row r="25" spans="1:93" s="115" customFormat="1" ht="23.1" customHeight="1">
      <c r="A25" s="116"/>
      <c r="B25" s="120"/>
      <c r="C25" s="23"/>
      <c r="D25" s="23"/>
      <c r="E25" s="122"/>
      <c r="F25" s="123"/>
      <c r="G25" s="122"/>
      <c r="H25" s="252"/>
      <c r="I25" s="108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</row>
    <row r="26" spans="1:93" s="115" customFormat="1" ht="23.1" customHeight="1">
      <c r="A26" s="116"/>
      <c r="B26" s="337"/>
      <c r="C26" s="338"/>
      <c r="D26" s="23"/>
      <c r="E26" s="122"/>
      <c r="F26" s="123"/>
      <c r="G26" s="122"/>
      <c r="H26" s="252"/>
      <c r="I26" s="108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</row>
    <row r="27" spans="1:93" s="115" customFormat="1" ht="23.1" customHeight="1">
      <c r="A27" s="116"/>
      <c r="B27" s="281"/>
      <c r="C27" s="284"/>
      <c r="D27" s="23"/>
      <c r="E27" s="122"/>
      <c r="F27" s="123"/>
      <c r="G27" s="122"/>
      <c r="H27" s="252"/>
      <c r="I27" s="285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</row>
    <row r="28" spans="1:93" s="115" customFormat="1" ht="23.1" customHeight="1">
      <c r="A28" s="116"/>
      <c r="B28" s="307"/>
      <c r="C28" s="308"/>
      <c r="D28" s="23"/>
      <c r="E28" s="122"/>
      <c r="F28" s="123"/>
      <c r="G28" s="122"/>
      <c r="H28" s="252"/>
      <c r="I28" s="30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</row>
    <row r="29" spans="1:93" s="115" customFormat="1" ht="23.1" customHeight="1">
      <c r="A29" s="116"/>
      <c r="B29" s="120"/>
      <c r="C29" s="121"/>
      <c r="D29" s="23"/>
      <c r="E29" s="122"/>
      <c r="F29" s="123"/>
      <c r="G29" s="122"/>
      <c r="H29" s="252"/>
      <c r="I29" s="108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</row>
    <row r="30" spans="1:93" s="115" customFormat="1" ht="23.1" customHeight="1">
      <c r="A30" s="116"/>
      <c r="B30" s="120"/>
      <c r="C30" s="121"/>
      <c r="D30" s="23"/>
      <c r="E30" s="122"/>
      <c r="F30" s="122"/>
      <c r="G30" s="122"/>
      <c r="H30" s="252"/>
      <c r="I30" s="108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</row>
    <row r="31" spans="1:93" s="115" customFormat="1" ht="23.1" customHeight="1">
      <c r="A31" s="116"/>
      <c r="B31" s="120"/>
      <c r="C31" s="121"/>
      <c r="D31" s="23"/>
      <c r="E31" s="122"/>
      <c r="F31" s="123"/>
      <c r="G31" s="122"/>
      <c r="H31" s="252"/>
      <c r="I31" s="108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</row>
    <row r="32" spans="1:93" s="115" customFormat="1" ht="23.1" customHeight="1">
      <c r="A32" s="116"/>
      <c r="B32" s="128"/>
      <c r="C32" s="121"/>
      <c r="D32" s="23"/>
      <c r="E32" s="122"/>
      <c r="F32" s="123"/>
      <c r="G32" s="122"/>
      <c r="H32" s="252"/>
      <c r="I32" s="108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</row>
    <row r="33" spans="1:93" s="115" customFormat="1" ht="23.1" customHeight="1">
      <c r="A33" s="116"/>
      <c r="B33" s="128"/>
      <c r="C33" s="121"/>
      <c r="D33" s="23"/>
      <c r="E33" s="122"/>
      <c r="F33" s="123"/>
      <c r="G33" s="122"/>
      <c r="H33" s="252"/>
      <c r="I33" s="108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</row>
    <row r="34" spans="1:93" s="115" customFormat="1" ht="23.1" customHeight="1">
      <c r="A34" s="116"/>
      <c r="B34" s="120"/>
      <c r="C34" s="23"/>
      <c r="D34" s="23"/>
      <c r="E34" s="122"/>
      <c r="F34" s="123"/>
      <c r="G34" s="122"/>
      <c r="H34" s="252"/>
      <c r="I34" s="108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</row>
    <row r="35" spans="1:93" s="115" customFormat="1" ht="23.1" customHeight="1">
      <c r="A35" s="116"/>
      <c r="B35" s="281"/>
      <c r="C35" s="23"/>
      <c r="D35" s="23"/>
      <c r="E35" s="122"/>
      <c r="F35" s="123"/>
      <c r="G35" s="122"/>
      <c r="H35" s="252"/>
      <c r="I35" s="108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</row>
    <row r="36" spans="1:93" s="115" customFormat="1" ht="23.1" customHeight="1">
      <c r="A36" s="116"/>
      <c r="B36" s="120"/>
      <c r="C36" s="23"/>
      <c r="D36" s="23"/>
      <c r="E36" s="309"/>
      <c r="F36" s="310"/>
      <c r="G36" s="309"/>
      <c r="H36" s="252"/>
      <c r="I36" s="305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</row>
    <row r="37" spans="1:93" s="115" customFormat="1" ht="23.1" customHeight="1">
      <c r="A37" s="116"/>
      <c r="B37" s="120"/>
      <c r="C37" s="23"/>
      <c r="D37" s="23"/>
      <c r="E37" s="125"/>
      <c r="F37" s="123"/>
      <c r="G37" s="125"/>
      <c r="H37" s="252"/>
      <c r="I37" s="108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</row>
    <row r="38" spans="1:93" s="115" customFormat="1" ht="23.1" customHeight="1">
      <c r="A38" s="116"/>
      <c r="B38" s="275"/>
      <c r="C38" s="275"/>
      <c r="D38" s="275"/>
      <c r="E38" s="275"/>
      <c r="F38" s="275"/>
      <c r="G38" s="275"/>
      <c r="H38" s="275"/>
      <c r="I38" s="275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</row>
    <row r="39" spans="1:93" s="115" customFormat="1" ht="23.1" customHeight="1">
      <c r="A39" s="116"/>
      <c r="B39" s="337"/>
      <c r="C39" s="339"/>
      <c r="D39" s="282"/>
      <c r="E39" s="263"/>
      <c r="F39" s="264"/>
      <c r="G39" s="263"/>
      <c r="H39" s="252"/>
      <c r="I39" s="108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</row>
    <row r="40" spans="1:93" s="115" customFormat="1" ht="23.1" customHeight="1">
      <c r="A40" s="116"/>
      <c r="B40" s="302"/>
      <c r="C40" s="303"/>
      <c r="D40" s="282"/>
      <c r="E40" s="265"/>
      <c r="F40" s="264"/>
      <c r="G40" s="265"/>
      <c r="H40" s="252"/>
      <c r="I40" s="108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</row>
    <row r="41" spans="1:93" s="115" customFormat="1" ht="23.1" customHeight="1">
      <c r="A41" s="116"/>
      <c r="B41" s="281"/>
      <c r="C41" s="283"/>
      <c r="D41" s="282"/>
      <c r="E41" s="280"/>
      <c r="F41" s="264"/>
      <c r="G41" s="265"/>
      <c r="H41" s="252"/>
      <c r="I41" s="108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</row>
    <row r="42" spans="1:93" s="115" customFormat="1" ht="23.1" customHeight="1">
      <c r="A42" s="116"/>
      <c r="B42" s="266"/>
      <c r="C42" s="126"/>
      <c r="D42" s="23"/>
      <c r="E42" s="261"/>
      <c r="F42" s="123"/>
      <c r="G42" s="261"/>
      <c r="H42" s="252"/>
      <c r="I42" s="108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</row>
    <row r="43" spans="1:93" s="115" customFormat="1" ht="24.95" customHeight="1">
      <c r="A43" s="116"/>
      <c r="B43" s="266"/>
      <c r="C43" s="1"/>
      <c r="D43" s="23"/>
      <c r="E43" s="261"/>
      <c r="F43" s="123"/>
      <c r="G43" s="261"/>
      <c r="H43" s="252"/>
      <c r="I43" s="108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</row>
    <row r="44" spans="1:93" s="115" customFormat="1" ht="24.95" customHeight="1">
      <c r="A44" s="116"/>
      <c r="B44" s="266"/>
      <c r="C44" s="23"/>
      <c r="D44" s="23"/>
      <c r="E44" s="261"/>
      <c r="F44" s="123"/>
      <c r="G44" s="261"/>
      <c r="H44" s="252"/>
      <c r="I44" s="108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</row>
    <row r="45" spans="1:93" s="115" customFormat="1" ht="24.95" customHeight="1">
      <c r="A45" s="116"/>
      <c r="B45" s="266"/>
      <c r="C45" s="23"/>
      <c r="D45" s="23"/>
      <c r="E45" s="261"/>
      <c r="F45" s="123"/>
      <c r="G45" s="261"/>
      <c r="H45" s="252"/>
      <c r="I45" s="108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</row>
    <row r="46" spans="1:93" s="115" customFormat="1" ht="24.95" customHeight="1">
      <c r="A46" s="116"/>
      <c r="B46" s="266"/>
      <c r="C46" s="23"/>
      <c r="D46" s="23"/>
      <c r="E46" s="261"/>
      <c r="F46" s="123"/>
      <c r="G46" s="261"/>
      <c r="H46" s="253"/>
      <c r="I46" s="12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</row>
    <row r="47" spans="1:93" s="115" customFormat="1" ht="24.95" customHeight="1">
      <c r="A47" s="116"/>
      <c r="B47" s="266"/>
      <c r="C47" s="23"/>
      <c r="D47" s="23"/>
      <c r="E47" s="261"/>
      <c r="F47" s="123"/>
      <c r="G47" s="261"/>
      <c r="H47" s="253"/>
      <c r="I47" s="12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</row>
    <row r="48" spans="1:93" ht="24.95" customHeight="1">
      <c r="A48" s="116"/>
      <c r="B48" s="266"/>
      <c r="C48" s="23"/>
      <c r="D48" s="23"/>
      <c r="E48" s="261"/>
      <c r="F48" s="123"/>
      <c r="G48" s="261"/>
      <c r="H48" s="253"/>
      <c r="I48" s="124"/>
    </row>
    <row r="49" spans="1:9" ht="24.95" customHeight="1">
      <c r="A49" s="116"/>
      <c r="B49" s="266"/>
      <c r="C49" s="23"/>
      <c r="D49" s="23"/>
      <c r="E49" s="261"/>
      <c r="F49" s="123"/>
      <c r="G49" s="261"/>
      <c r="H49" s="254"/>
      <c r="I49" s="124"/>
    </row>
    <row r="50" spans="1:9" ht="24.95" customHeight="1">
      <c r="A50" s="116"/>
      <c r="B50" s="266"/>
      <c r="C50" s="23"/>
      <c r="D50" s="23"/>
      <c r="E50" s="261"/>
      <c r="F50" s="123"/>
      <c r="G50" s="261"/>
      <c r="H50" s="253"/>
      <c r="I50" s="124"/>
    </row>
    <row r="51" spans="1:9" ht="24.95" customHeight="1">
      <c r="A51" s="116"/>
      <c r="B51" s="266"/>
      <c r="C51" s="23"/>
      <c r="D51" s="23"/>
      <c r="E51" s="261"/>
      <c r="F51" s="123"/>
      <c r="G51" s="261"/>
      <c r="H51" s="254"/>
      <c r="I51" s="124"/>
    </row>
    <row r="52" spans="1:9" ht="24.95" customHeight="1">
      <c r="A52" s="116"/>
      <c r="B52" s="266"/>
      <c r="C52" s="23"/>
      <c r="D52" s="23"/>
      <c r="E52" s="261"/>
      <c r="F52" s="123"/>
      <c r="G52" s="261"/>
      <c r="H52" s="253"/>
      <c r="I52" s="124"/>
    </row>
    <row r="53" spans="1:9" ht="24.95" customHeight="1">
      <c r="B53" s="266"/>
      <c r="C53" s="23"/>
      <c r="D53" s="23"/>
      <c r="E53" s="261"/>
      <c r="F53" s="123"/>
      <c r="G53" s="261"/>
      <c r="H53" s="253"/>
      <c r="I53" s="124"/>
    </row>
    <row r="54" spans="1:9" ht="24.95" customHeight="1">
      <c r="B54" s="266"/>
      <c r="C54" s="23"/>
      <c r="D54" s="23"/>
      <c r="E54" s="261"/>
      <c r="F54" s="123"/>
      <c r="G54" s="261"/>
      <c r="H54" s="253"/>
      <c r="I54" s="124"/>
    </row>
    <row r="55" spans="1:9" ht="24.95" customHeight="1">
      <c r="B55" s="266"/>
      <c r="C55" s="23"/>
      <c r="D55" s="23"/>
      <c r="E55" s="261"/>
      <c r="F55" s="123"/>
      <c r="G55" s="261"/>
      <c r="H55" s="253"/>
      <c r="I55" s="124"/>
    </row>
    <row r="56" spans="1:9" ht="24.95" customHeight="1">
      <c r="B56" s="266"/>
      <c r="C56" s="23"/>
      <c r="D56" s="23"/>
      <c r="E56" s="261"/>
      <c r="F56" s="123"/>
      <c r="G56" s="261"/>
      <c r="H56" s="253"/>
      <c r="I56" s="124"/>
    </row>
    <row r="57" spans="1:9" ht="24.95" customHeight="1">
      <c r="B57" s="266"/>
      <c r="C57" s="23"/>
      <c r="D57" s="23"/>
      <c r="E57" s="261"/>
      <c r="F57" s="123"/>
      <c r="G57" s="261"/>
      <c r="H57" s="253"/>
      <c r="I57" s="124"/>
    </row>
    <row r="58" spans="1:9" ht="24.95" customHeight="1">
      <c r="B58" s="266"/>
      <c r="C58" s="275"/>
      <c r="D58" s="275"/>
      <c r="E58" s="261"/>
      <c r="F58" s="123"/>
      <c r="G58" s="261"/>
      <c r="H58" s="253"/>
      <c r="I58" s="275"/>
    </row>
    <row r="59" spans="1:9" ht="24.95" customHeight="1">
      <c r="B59" s="266"/>
      <c r="C59" s="23"/>
      <c r="D59" s="23"/>
      <c r="E59" s="261"/>
      <c r="F59" s="123"/>
      <c r="G59" s="261"/>
      <c r="H59" s="253"/>
      <c r="I59" s="275"/>
    </row>
    <row r="60" spans="1:9" ht="24.95" customHeight="1">
      <c r="B60" s="266"/>
      <c r="C60" s="23"/>
      <c r="D60" s="23"/>
      <c r="E60" s="261"/>
      <c r="F60" s="123"/>
      <c r="G60" s="261"/>
      <c r="H60" s="253"/>
      <c r="I60" s="275"/>
    </row>
    <row r="61" spans="1:9" ht="24.95" customHeight="1">
      <c r="B61" s="266"/>
      <c r="C61" s="23"/>
      <c r="D61" s="23"/>
      <c r="E61" s="261"/>
      <c r="F61" s="123"/>
      <c r="G61" s="261"/>
      <c r="H61" s="253"/>
      <c r="I61" s="124"/>
    </row>
    <row r="62" spans="1:9" ht="24.95" customHeight="1">
      <c r="B62" s="266"/>
      <c r="C62" s="23"/>
      <c r="D62" s="23"/>
      <c r="E62" s="261"/>
      <c r="F62" s="123"/>
      <c r="G62" s="261"/>
      <c r="H62" s="253"/>
      <c r="I62" s="124"/>
    </row>
    <row r="63" spans="1:9" ht="24.95" customHeight="1">
      <c r="B63" s="266"/>
      <c r="C63" s="23"/>
      <c r="D63" s="23"/>
      <c r="E63" s="261"/>
      <c r="F63" s="123"/>
      <c r="G63" s="261"/>
      <c r="H63" s="253"/>
      <c r="I63" s="124"/>
    </row>
    <row r="64" spans="1:9" ht="24.95" customHeight="1">
      <c r="B64" s="266"/>
      <c r="C64" s="23"/>
      <c r="D64" s="23"/>
      <c r="E64" s="261"/>
      <c r="F64" s="123"/>
      <c r="G64" s="261"/>
      <c r="H64" s="253"/>
      <c r="I64" s="124"/>
    </row>
    <row r="65" spans="2:9" ht="24.95" customHeight="1">
      <c r="B65" s="266"/>
      <c r="C65" s="23"/>
      <c r="D65" s="23"/>
      <c r="E65" s="261"/>
      <c r="F65" s="123"/>
      <c r="G65" s="261"/>
      <c r="H65" s="253"/>
      <c r="I65" s="124"/>
    </row>
    <row r="66" spans="2:9" ht="24.95" customHeight="1">
      <c r="B66" s="266"/>
      <c r="C66" s="23"/>
      <c r="D66" s="23"/>
      <c r="E66" s="261"/>
      <c r="F66" s="123"/>
      <c r="G66" s="261"/>
      <c r="H66" s="253"/>
      <c r="I66" s="124"/>
    </row>
    <row r="67" spans="2:9" ht="24.95" customHeight="1">
      <c r="B67" s="266"/>
      <c r="C67" s="23"/>
      <c r="D67" s="23"/>
      <c r="E67" s="261"/>
      <c r="F67" s="123"/>
      <c r="G67" s="261"/>
      <c r="H67" s="253"/>
      <c r="I67" s="124"/>
    </row>
    <row r="68" spans="2:9" ht="24.95" customHeight="1">
      <c r="B68" s="266"/>
      <c r="C68" s="23"/>
      <c r="D68" s="23"/>
      <c r="E68" s="261"/>
      <c r="F68" s="123"/>
      <c r="G68" s="261"/>
      <c r="H68" s="253"/>
      <c r="I68" s="124"/>
    </row>
    <row r="69" spans="2:9" ht="24.95" customHeight="1">
      <c r="B69" s="266"/>
      <c r="C69" s="23"/>
      <c r="D69" s="23"/>
      <c r="E69" s="261"/>
      <c r="F69" s="123"/>
      <c r="G69" s="261"/>
      <c r="H69" s="253"/>
      <c r="I69" s="124"/>
    </row>
    <row r="70" spans="2:9" ht="24.95" customHeight="1">
      <c r="B70" s="266"/>
      <c r="C70" s="23"/>
      <c r="D70" s="23"/>
      <c r="E70" s="261"/>
      <c r="F70" s="123"/>
      <c r="G70" s="261"/>
      <c r="H70" s="253"/>
      <c r="I70" s="124"/>
    </row>
    <row r="71" spans="2:9" ht="24.95" customHeight="1">
      <c r="B71" s="266"/>
      <c r="C71" s="23"/>
      <c r="D71" s="23"/>
      <c r="E71" s="261"/>
      <c r="F71" s="123"/>
      <c r="G71" s="261"/>
      <c r="H71" s="253"/>
      <c r="I71" s="124"/>
    </row>
    <row r="72" spans="2:9" ht="24.95" customHeight="1">
      <c r="B72" s="266"/>
      <c r="C72" s="23"/>
      <c r="D72" s="23"/>
      <c r="E72" s="261"/>
      <c r="F72" s="123"/>
      <c r="G72" s="261"/>
      <c r="H72" s="253"/>
      <c r="I72" s="124"/>
    </row>
    <row r="73" spans="2:9" ht="24.95" customHeight="1">
      <c r="B73" s="266"/>
      <c r="C73" s="23"/>
      <c r="D73" s="23"/>
      <c r="E73" s="261"/>
      <c r="F73" s="123"/>
      <c r="G73" s="261"/>
      <c r="H73" s="253"/>
      <c r="I73" s="124"/>
    </row>
    <row r="74" spans="2:9" ht="24.95" customHeight="1">
      <c r="B74" s="266"/>
      <c r="C74" s="23"/>
      <c r="D74" s="23"/>
      <c r="E74" s="261"/>
      <c r="F74" s="123"/>
      <c r="G74" s="261"/>
      <c r="H74" s="253"/>
      <c r="I74" s="124"/>
    </row>
    <row r="75" spans="2:9" ht="24.95" customHeight="1">
      <c r="B75" s="266"/>
      <c r="C75" s="23"/>
      <c r="D75" s="23"/>
      <c r="E75" s="261"/>
      <c r="F75" s="123"/>
      <c r="G75" s="261"/>
      <c r="H75" s="253"/>
      <c r="I75" s="124"/>
    </row>
    <row r="76" spans="2:9" ht="24.95" customHeight="1">
      <c r="B76" s="266"/>
      <c r="C76" s="23"/>
      <c r="D76" s="23"/>
      <c r="E76" s="261"/>
      <c r="F76" s="123"/>
      <c r="G76" s="261"/>
      <c r="H76" s="253"/>
      <c r="I76" s="124"/>
    </row>
    <row r="77" spans="2:9" ht="24.95" customHeight="1">
      <c r="B77" s="266"/>
      <c r="C77" s="23"/>
      <c r="D77" s="23"/>
      <c r="E77" s="261"/>
      <c r="F77" s="123"/>
      <c r="G77" s="261"/>
      <c r="H77" s="253"/>
      <c r="I77" s="124"/>
    </row>
    <row r="78" spans="2:9" ht="24.95" customHeight="1">
      <c r="B78" s="266"/>
      <c r="C78" s="23"/>
      <c r="D78" s="23"/>
      <c r="E78" s="261"/>
      <c r="F78" s="123"/>
      <c r="G78" s="261"/>
      <c r="H78" s="253"/>
      <c r="I78" s="124"/>
    </row>
    <row r="79" spans="2:9" ht="24.95" customHeight="1">
      <c r="B79" s="266"/>
      <c r="C79" s="23"/>
      <c r="D79" s="23"/>
      <c r="E79" s="261"/>
      <c r="F79" s="123"/>
      <c r="G79" s="261"/>
      <c r="H79" s="253"/>
      <c r="I79" s="124"/>
    </row>
    <row r="80" spans="2:9" ht="24.95" customHeight="1">
      <c r="B80" s="266"/>
      <c r="C80" s="23"/>
      <c r="D80" s="23"/>
      <c r="E80" s="261"/>
      <c r="F80" s="123"/>
      <c r="G80" s="261"/>
      <c r="H80" s="253"/>
      <c r="I80" s="124"/>
    </row>
    <row r="81" spans="2:9" ht="24.95" customHeight="1">
      <c r="B81" s="266"/>
      <c r="C81" s="23"/>
      <c r="D81" s="23"/>
      <c r="E81" s="261"/>
      <c r="F81" s="123"/>
      <c r="G81" s="261"/>
      <c r="H81" s="253"/>
      <c r="I81" s="124"/>
    </row>
    <row r="82" spans="2:9" ht="24.95" customHeight="1">
      <c r="B82" s="266"/>
      <c r="C82" s="23"/>
      <c r="D82" s="23"/>
      <c r="E82" s="261"/>
      <c r="F82" s="123"/>
      <c r="G82" s="261"/>
      <c r="H82" s="253"/>
      <c r="I82" s="124"/>
    </row>
    <row r="83" spans="2:9" ht="24.95" customHeight="1">
      <c r="B83" s="266"/>
      <c r="C83" s="23"/>
      <c r="D83" s="23"/>
      <c r="E83" s="261"/>
      <c r="F83" s="123"/>
      <c r="G83" s="261"/>
      <c r="H83" s="253"/>
      <c r="I83" s="124"/>
    </row>
    <row r="84" spans="2:9" ht="24.95" customHeight="1">
      <c r="B84" s="266"/>
      <c r="C84" s="23"/>
      <c r="D84" s="23"/>
      <c r="E84" s="261"/>
      <c r="F84" s="123"/>
      <c r="G84" s="261"/>
      <c r="H84" s="253"/>
      <c r="I84" s="124"/>
    </row>
    <row r="85" spans="2:9" ht="24.95" customHeight="1">
      <c r="B85" s="266"/>
      <c r="C85" s="23"/>
      <c r="D85" s="23"/>
      <c r="E85" s="261"/>
      <c r="F85" s="123"/>
      <c r="G85" s="261"/>
      <c r="H85" s="253"/>
      <c r="I85" s="124"/>
    </row>
    <row r="86" spans="2:9" ht="24.95" customHeight="1">
      <c r="B86" s="266"/>
      <c r="C86" s="23"/>
      <c r="D86" s="23"/>
      <c r="E86" s="261"/>
      <c r="F86" s="123"/>
      <c r="G86" s="261"/>
      <c r="H86" s="253"/>
      <c r="I86" s="124"/>
    </row>
    <row r="87" spans="2:9" ht="24.95" customHeight="1">
      <c r="B87" s="266"/>
      <c r="C87" s="23"/>
      <c r="D87" s="23"/>
      <c r="E87" s="261"/>
      <c r="F87" s="123"/>
      <c r="G87" s="261"/>
      <c r="H87" s="253"/>
      <c r="I87" s="124"/>
    </row>
    <row r="88" spans="2:9" ht="24.95" customHeight="1">
      <c r="B88" s="266"/>
      <c r="C88" s="23"/>
      <c r="D88" s="23"/>
      <c r="E88" s="261"/>
      <c r="F88" s="123"/>
      <c r="G88" s="261"/>
      <c r="H88" s="253"/>
      <c r="I88" s="124"/>
    </row>
    <row r="89" spans="2:9" ht="24.95" customHeight="1">
      <c r="B89" s="266"/>
      <c r="C89" s="23"/>
      <c r="D89" s="23"/>
      <c r="E89" s="261"/>
      <c r="F89" s="123"/>
      <c r="G89" s="261"/>
      <c r="H89" s="253"/>
      <c r="I89" s="124"/>
    </row>
    <row r="90" spans="2:9" ht="24.95" customHeight="1">
      <c r="B90" s="266"/>
      <c r="C90" s="23"/>
      <c r="D90" s="23"/>
      <c r="E90" s="261"/>
      <c r="F90" s="123"/>
      <c r="G90" s="261"/>
      <c r="H90" s="253"/>
      <c r="I90" s="124"/>
    </row>
    <row r="91" spans="2:9" ht="24.95" customHeight="1">
      <c r="B91" s="266"/>
      <c r="C91" s="23"/>
      <c r="D91" s="23"/>
      <c r="E91" s="261"/>
      <c r="F91" s="123"/>
      <c r="G91" s="261"/>
      <c r="H91" s="253"/>
      <c r="I91" s="124"/>
    </row>
    <row r="92" spans="2:9" ht="24.95" customHeight="1">
      <c r="B92" s="266"/>
      <c r="C92" s="23"/>
      <c r="D92" s="23"/>
      <c r="E92" s="261"/>
      <c r="F92" s="123"/>
      <c r="G92" s="261"/>
      <c r="H92" s="253"/>
      <c r="I92" s="124"/>
    </row>
    <row r="93" spans="2:9" ht="24.95" customHeight="1">
      <c r="B93" s="266"/>
      <c r="C93" s="23"/>
      <c r="D93" s="23"/>
      <c r="E93" s="261"/>
      <c r="F93" s="123"/>
      <c r="G93" s="261"/>
      <c r="H93" s="253"/>
      <c r="I93" s="124"/>
    </row>
    <row r="94" spans="2:9" ht="24.95" customHeight="1">
      <c r="B94" s="266"/>
      <c r="C94" s="23"/>
      <c r="D94" s="23"/>
      <c r="E94" s="261"/>
      <c r="F94" s="123"/>
      <c r="G94" s="261"/>
      <c r="H94" s="253"/>
      <c r="I94" s="124"/>
    </row>
    <row r="95" spans="2:9" ht="24.95" customHeight="1">
      <c r="B95" s="266"/>
      <c r="C95" s="23"/>
      <c r="D95" s="23"/>
      <c r="E95" s="261"/>
      <c r="F95" s="123"/>
      <c r="G95" s="261"/>
      <c r="H95" s="253"/>
      <c r="I95" s="124"/>
    </row>
    <row r="96" spans="2:9" ht="24.95" customHeight="1">
      <c r="B96" s="266"/>
      <c r="C96" s="23"/>
      <c r="D96" s="23"/>
      <c r="E96" s="261"/>
      <c r="F96" s="123"/>
      <c r="G96" s="261"/>
      <c r="H96" s="253"/>
      <c r="I96" s="124"/>
    </row>
    <row r="97" spans="2:9" ht="24.95" customHeight="1">
      <c r="B97" s="266"/>
      <c r="C97" s="23"/>
      <c r="D97" s="23"/>
      <c r="E97" s="261"/>
      <c r="F97" s="123"/>
      <c r="G97" s="261"/>
      <c r="H97" s="253"/>
      <c r="I97" s="124"/>
    </row>
    <row r="98" spans="2:9" ht="24.95" customHeight="1">
      <c r="B98" s="266"/>
      <c r="C98" s="23"/>
      <c r="D98" s="23"/>
      <c r="E98" s="261"/>
      <c r="F98" s="123"/>
      <c r="G98" s="261"/>
      <c r="H98" s="253"/>
      <c r="I98" s="124"/>
    </row>
    <row r="99" spans="2:9" ht="24.95" customHeight="1">
      <c r="B99" s="266"/>
      <c r="C99" s="23"/>
      <c r="D99" s="23"/>
      <c r="E99" s="261"/>
      <c r="F99" s="123"/>
      <c r="G99" s="261"/>
      <c r="H99" s="253"/>
      <c r="I99" s="124"/>
    </row>
    <row r="100" spans="2:9" ht="24.95" customHeight="1">
      <c r="B100" s="266"/>
      <c r="C100" s="23"/>
      <c r="D100" s="23"/>
      <c r="E100" s="261"/>
      <c r="F100" s="123"/>
      <c r="G100" s="261"/>
      <c r="H100" s="253"/>
      <c r="I100" s="124"/>
    </row>
    <row r="101" spans="2:9" ht="24.95" customHeight="1">
      <c r="B101" s="266"/>
      <c r="C101" s="23"/>
      <c r="D101" s="23"/>
      <c r="E101" s="261"/>
      <c r="F101" s="123"/>
      <c r="G101" s="261"/>
      <c r="H101" s="253"/>
      <c r="I101" s="124"/>
    </row>
    <row r="102" spans="2:9" ht="24.95" customHeight="1">
      <c r="B102" s="266"/>
      <c r="C102" s="23"/>
      <c r="D102" s="23"/>
      <c r="E102" s="261"/>
      <c r="F102" s="123"/>
      <c r="G102" s="261"/>
      <c r="H102" s="253"/>
      <c r="I102" s="124"/>
    </row>
    <row r="103" spans="2:9" ht="24.95" customHeight="1">
      <c r="B103" s="266"/>
      <c r="C103" s="23"/>
      <c r="D103" s="23"/>
      <c r="E103" s="261"/>
      <c r="F103" s="123"/>
      <c r="G103" s="261"/>
      <c r="H103" s="253"/>
      <c r="I103" s="124"/>
    </row>
    <row r="104" spans="2:9" ht="24.95" customHeight="1">
      <c r="B104" s="266"/>
      <c r="C104" s="23"/>
      <c r="D104" s="23"/>
      <c r="E104" s="261"/>
      <c r="F104" s="123"/>
      <c r="G104" s="261"/>
      <c r="H104" s="253"/>
      <c r="I104" s="124"/>
    </row>
    <row r="105" spans="2:9" ht="24.95" customHeight="1">
      <c r="B105" s="266"/>
      <c r="C105" s="23"/>
      <c r="D105" s="23"/>
      <c r="E105" s="261"/>
      <c r="F105" s="123"/>
      <c r="G105" s="261"/>
      <c r="H105" s="253"/>
      <c r="I105" s="124"/>
    </row>
    <row r="106" spans="2:9" ht="24.95" customHeight="1">
      <c r="B106" s="266"/>
      <c r="C106" s="23"/>
      <c r="D106" s="23"/>
      <c r="E106" s="261"/>
      <c r="F106" s="123"/>
      <c r="G106" s="261"/>
      <c r="H106" s="253"/>
      <c r="I106" s="124"/>
    </row>
    <row r="107" spans="2:9" ht="24.95" customHeight="1">
      <c r="B107" s="266"/>
      <c r="C107" s="23"/>
      <c r="D107" s="23"/>
      <c r="E107" s="261"/>
      <c r="F107" s="123"/>
      <c r="G107" s="261"/>
      <c r="H107" s="253"/>
      <c r="I107" s="124"/>
    </row>
    <row r="108" spans="2:9" ht="24.95" customHeight="1">
      <c r="B108" s="266"/>
      <c r="C108" s="23"/>
      <c r="D108" s="23"/>
      <c r="E108" s="261"/>
      <c r="F108" s="123"/>
      <c r="G108" s="261"/>
      <c r="H108" s="253"/>
      <c r="I108" s="124"/>
    </row>
    <row r="109" spans="2:9" ht="24.95" customHeight="1">
      <c r="B109" s="266"/>
      <c r="C109" s="23"/>
      <c r="D109" s="23"/>
      <c r="E109" s="261"/>
      <c r="F109" s="123"/>
      <c r="G109" s="261"/>
      <c r="H109" s="253"/>
      <c r="I109" s="124"/>
    </row>
    <row r="110" spans="2:9" ht="24.95" customHeight="1">
      <c r="B110" s="266"/>
      <c r="C110" s="23"/>
      <c r="D110" s="23"/>
      <c r="E110" s="261"/>
      <c r="F110" s="123"/>
      <c r="G110" s="261"/>
      <c r="H110" s="253"/>
      <c r="I110" s="124"/>
    </row>
    <row r="111" spans="2:9" ht="24.95" customHeight="1">
      <c r="B111" s="266"/>
      <c r="C111" s="23"/>
      <c r="D111" s="23"/>
      <c r="E111" s="261"/>
      <c r="F111" s="123"/>
      <c r="G111" s="261"/>
      <c r="H111" s="253"/>
      <c r="I111" s="124"/>
    </row>
    <row r="112" spans="2:9" ht="24.95" customHeight="1">
      <c r="B112" s="266"/>
      <c r="C112" s="23"/>
      <c r="D112" s="23"/>
      <c r="E112" s="261"/>
      <c r="F112" s="123"/>
      <c r="G112" s="261"/>
      <c r="H112" s="253"/>
      <c r="I112" s="124"/>
    </row>
    <row r="113" spans="2:9" ht="24.95" customHeight="1">
      <c r="B113" s="266"/>
      <c r="C113" s="23"/>
      <c r="D113" s="23"/>
      <c r="E113" s="261"/>
      <c r="F113" s="123"/>
      <c r="G113" s="261"/>
      <c r="H113" s="253"/>
      <c r="I113" s="124"/>
    </row>
    <row r="114" spans="2:9" ht="24.95" customHeight="1">
      <c r="B114" s="266"/>
      <c r="C114" s="23"/>
      <c r="D114" s="23"/>
      <c r="E114" s="261"/>
      <c r="F114" s="123"/>
      <c r="G114" s="261"/>
      <c r="H114" s="253"/>
      <c r="I114" s="124"/>
    </row>
    <row r="115" spans="2:9" ht="24.95" customHeight="1">
      <c r="B115" s="266"/>
      <c r="C115" s="23"/>
      <c r="D115" s="23"/>
      <c r="E115" s="261"/>
      <c r="F115" s="123"/>
      <c r="G115" s="261"/>
      <c r="H115" s="253"/>
      <c r="I115" s="124"/>
    </row>
    <row r="116" spans="2:9" ht="24.95" customHeight="1">
      <c r="B116" s="266"/>
      <c r="C116" s="23"/>
      <c r="D116" s="23"/>
      <c r="E116" s="261"/>
      <c r="F116" s="123"/>
      <c r="G116" s="261"/>
      <c r="H116" s="253"/>
      <c r="I116" s="124"/>
    </row>
    <row r="117" spans="2:9" ht="24.95" customHeight="1">
      <c r="B117" s="266"/>
      <c r="C117" s="23"/>
      <c r="D117" s="23"/>
      <c r="E117" s="261"/>
      <c r="F117" s="123"/>
      <c r="G117" s="261"/>
      <c r="H117" s="253"/>
      <c r="I117" s="124"/>
    </row>
    <row r="118" spans="2:9" ht="24.95" customHeight="1">
      <c r="B118" s="266"/>
      <c r="C118" s="23"/>
      <c r="D118" s="23"/>
      <c r="E118" s="261"/>
      <c r="F118" s="123"/>
      <c r="G118" s="261"/>
      <c r="H118" s="253"/>
      <c r="I118" s="124"/>
    </row>
    <row r="119" spans="2:9" ht="24.95" customHeight="1">
      <c r="B119" s="266"/>
      <c r="C119" s="23"/>
      <c r="D119" s="23"/>
      <c r="E119" s="261"/>
      <c r="F119" s="123"/>
      <c r="G119" s="261"/>
      <c r="H119" s="253"/>
      <c r="I119" s="124"/>
    </row>
    <row r="120" spans="2:9" ht="24.95" customHeight="1">
      <c r="B120" s="266"/>
      <c r="C120" s="23"/>
      <c r="D120" s="23"/>
      <c r="E120" s="261"/>
      <c r="F120" s="123"/>
      <c r="G120" s="261"/>
      <c r="H120" s="253"/>
      <c r="I120" s="124"/>
    </row>
    <row r="121" spans="2:9" ht="24.95" customHeight="1">
      <c r="B121" s="266"/>
      <c r="C121" s="23"/>
      <c r="D121" s="23"/>
      <c r="E121" s="261"/>
      <c r="F121" s="123"/>
      <c r="G121" s="261"/>
      <c r="H121" s="253"/>
      <c r="I121" s="124"/>
    </row>
    <row r="122" spans="2:9" ht="24.95" customHeight="1">
      <c r="B122" s="266"/>
      <c r="C122" s="23"/>
      <c r="D122" s="23"/>
      <c r="E122" s="261"/>
      <c r="F122" s="123"/>
      <c r="G122" s="261"/>
      <c r="H122" s="253"/>
      <c r="I122" s="124"/>
    </row>
    <row r="123" spans="2:9" ht="24.95" customHeight="1">
      <c r="B123" s="266"/>
      <c r="C123" s="23"/>
      <c r="D123" s="23"/>
      <c r="E123" s="261"/>
      <c r="F123" s="123"/>
      <c r="G123" s="261"/>
      <c r="H123" s="253"/>
      <c r="I123" s="124"/>
    </row>
    <row r="124" spans="2:9" ht="24.95" customHeight="1">
      <c r="B124" s="266"/>
      <c r="C124" s="23"/>
      <c r="D124" s="23"/>
      <c r="E124" s="261"/>
      <c r="F124" s="123"/>
      <c r="G124" s="261"/>
      <c r="H124" s="253"/>
      <c r="I124" s="124"/>
    </row>
    <row r="125" spans="2:9" ht="24.95" customHeight="1">
      <c r="B125" s="266"/>
      <c r="C125" s="23"/>
      <c r="D125" s="23"/>
      <c r="E125" s="261"/>
      <c r="F125" s="123"/>
      <c r="G125" s="261"/>
      <c r="H125" s="253"/>
      <c r="I125" s="124"/>
    </row>
    <row r="126" spans="2:9" ht="24.95" customHeight="1">
      <c r="B126" s="266"/>
      <c r="C126" s="23"/>
      <c r="D126" s="23"/>
      <c r="E126" s="261"/>
      <c r="F126" s="123"/>
      <c r="G126" s="261"/>
      <c r="H126" s="253"/>
      <c r="I126" s="124"/>
    </row>
    <row r="127" spans="2:9" ht="24.95" customHeight="1">
      <c r="B127" s="266"/>
      <c r="C127" s="23"/>
      <c r="D127" s="23"/>
      <c r="E127" s="261"/>
      <c r="F127" s="123"/>
      <c r="G127" s="261"/>
      <c r="H127" s="253"/>
      <c r="I127" s="124"/>
    </row>
    <row r="128" spans="2:9" ht="24.95" customHeight="1">
      <c r="B128" s="266"/>
      <c r="C128" s="23"/>
      <c r="D128" s="23"/>
      <c r="E128" s="261"/>
      <c r="F128" s="123"/>
      <c r="G128" s="261"/>
      <c r="H128" s="253"/>
      <c r="I128" s="124"/>
    </row>
    <row r="129" spans="2:9" ht="24.95" customHeight="1">
      <c r="B129" s="266"/>
      <c r="C129" s="23"/>
      <c r="D129" s="23"/>
      <c r="E129" s="261"/>
      <c r="F129" s="123"/>
      <c r="G129" s="261"/>
      <c r="H129" s="253"/>
      <c r="I129" s="124"/>
    </row>
    <row r="130" spans="2:9" ht="24.95" customHeight="1">
      <c r="B130" s="266"/>
      <c r="C130" s="23"/>
      <c r="D130" s="23"/>
      <c r="E130" s="261"/>
      <c r="F130" s="123"/>
      <c r="G130" s="261"/>
      <c r="H130" s="253"/>
      <c r="I130" s="124"/>
    </row>
    <row r="131" spans="2:9" ht="24.95" customHeight="1">
      <c r="B131" s="266"/>
      <c r="C131" s="23"/>
      <c r="D131" s="23"/>
      <c r="E131" s="261"/>
      <c r="F131" s="123"/>
      <c r="G131" s="261"/>
      <c r="H131" s="253"/>
      <c r="I131" s="124"/>
    </row>
    <row r="132" spans="2:9" ht="24.95" customHeight="1">
      <c r="B132" s="266"/>
      <c r="C132" s="23"/>
      <c r="D132" s="23"/>
      <c r="E132" s="261"/>
      <c r="F132" s="123"/>
      <c r="G132" s="261"/>
      <c r="H132" s="253"/>
      <c r="I132" s="124"/>
    </row>
    <row r="133" spans="2:9" ht="24.95" customHeight="1">
      <c r="B133" s="266"/>
      <c r="C133" s="23"/>
      <c r="D133" s="23"/>
      <c r="E133" s="261"/>
      <c r="F133" s="123"/>
      <c r="G133" s="261"/>
      <c r="H133" s="253"/>
      <c r="I133" s="124"/>
    </row>
    <row r="134" spans="2:9" ht="24.95" customHeight="1">
      <c r="B134" s="266"/>
      <c r="C134" s="23"/>
      <c r="D134" s="23"/>
      <c r="E134" s="261"/>
      <c r="F134" s="123"/>
      <c r="G134" s="261"/>
      <c r="H134" s="253"/>
      <c r="I134" s="124"/>
    </row>
    <row r="135" spans="2:9" ht="24.95" customHeight="1">
      <c r="B135" s="266"/>
      <c r="C135" s="23"/>
      <c r="D135" s="23"/>
      <c r="E135" s="261"/>
      <c r="F135" s="123"/>
      <c r="G135" s="261"/>
      <c r="H135" s="253"/>
      <c r="I135" s="124"/>
    </row>
    <row r="136" spans="2:9" ht="24.95" customHeight="1">
      <c r="B136" s="266"/>
      <c r="C136" s="23"/>
      <c r="D136" s="23"/>
      <c r="E136" s="261"/>
      <c r="F136" s="123"/>
      <c r="G136" s="261"/>
      <c r="H136" s="253"/>
      <c r="I136" s="124"/>
    </row>
    <row r="137" spans="2:9" ht="24.95" customHeight="1">
      <c r="B137" s="266"/>
      <c r="C137" s="23"/>
      <c r="D137" s="23"/>
      <c r="E137" s="261"/>
      <c r="F137" s="123"/>
      <c r="G137" s="261"/>
      <c r="H137" s="253"/>
      <c r="I137" s="124"/>
    </row>
    <row r="138" spans="2:9" ht="24.95" customHeight="1">
      <c r="B138" s="266"/>
      <c r="C138" s="23"/>
      <c r="D138" s="23"/>
      <c r="E138" s="261"/>
      <c r="F138" s="123"/>
      <c r="G138" s="261"/>
      <c r="H138" s="253"/>
      <c r="I138" s="124"/>
    </row>
    <row r="139" spans="2:9" ht="24.95" customHeight="1">
      <c r="B139" s="266"/>
      <c r="C139" s="23"/>
      <c r="D139" s="23"/>
      <c r="E139" s="261"/>
      <c r="F139" s="123"/>
      <c r="G139" s="261"/>
      <c r="H139" s="253"/>
      <c r="I139" s="124"/>
    </row>
    <row r="140" spans="2:9" ht="24.95" customHeight="1">
      <c r="B140" s="266"/>
      <c r="C140" s="23"/>
      <c r="D140" s="23"/>
      <c r="E140" s="261"/>
      <c r="F140" s="123"/>
      <c r="G140" s="261"/>
      <c r="H140" s="253"/>
      <c r="I140" s="124"/>
    </row>
    <row r="141" spans="2:9" ht="24.95" customHeight="1">
      <c r="B141" s="266"/>
      <c r="C141" s="23"/>
      <c r="D141" s="23"/>
      <c r="E141" s="261"/>
      <c r="F141" s="123"/>
      <c r="G141" s="261"/>
      <c r="H141" s="253"/>
      <c r="I141" s="124"/>
    </row>
    <row r="142" spans="2:9" ht="24.95" customHeight="1">
      <c r="B142" s="266"/>
      <c r="C142" s="23"/>
      <c r="D142" s="23"/>
      <c r="E142" s="261"/>
      <c r="F142" s="123"/>
      <c r="G142" s="261"/>
      <c r="H142" s="253"/>
      <c r="I142" s="124"/>
    </row>
    <row r="143" spans="2:9" ht="24.95" customHeight="1">
      <c r="B143" s="266"/>
      <c r="C143" s="23"/>
      <c r="D143" s="23"/>
      <c r="E143" s="261"/>
      <c r="F143" s="123"/>
      <c r="G143" s="261"/>
      <c r="H143" s="253"/>
      <c r="I143" s="124"/>
    </row>
    <row r="144" spans="2:9" ht="24.95" customHeight="1">
      <c r="B144" s="266"/>
      <c r="C144" s="23"/>
      <c r="D144" s="23"/>
      <c r="E144" s="261"/>
      <c r="F144" s="123"/>
      <c r="G144" s="261"/>
      <c r="H144" s="253"/>
      <c r="I144" s="124"/>
    </row>
    <row r="145" spans="2:9" ht="24.95" customHeight="1">
      <c r="B145" s="266"/>
      <c r="C145" s="23"/>
      <c r="D145" s="23"/>
      <c r="E145" s="261"/>
      <c r="F145" s="123"/>
      <c r="G145" s="261"/>
      <c r="H145" s="253"/>
      <c r="I145" s="124"/>
    </row>
    <row r="146" spans="2:9" ht="24.95" customHeight="1">
      <c r="B146" s="266"/>
      <c r="C146" s="23"/>
      <c r="D146" s="23"/>
      <c r="E146" s="261"/>
      <c r="F146" s="123"/>
      <c r="G146" s="261"/>
      <c r="H146" s="253"/>
      <c r="I146" s="124"/>
    </row>
    <row r="147" spans="2:9" ht="24.95" customHeight="1">
      <c r="B147" s="266"/>
      <c r="C147" s="23"/>
      <c r="D147" s="23"/>
      <c r="E147" s="261"/>
      <c r="F147" s="123"/>
      <c r="G147" s="261"/>
      <c r="H147" s="253"/>
      <c r="I147" s="124"/>
    </row>
    <row r="148" spans="2:9" ht="24.95" customHeight="1">
      <c r="B148" s="266"/>
      <c r="C148" s="23"/>
      <c r="D148" s="23"/>
      <c r="E148" s="261"/>
      <c r="F148" s="123"/>
      <c r="G148" s="261"/>
      <c r="H148" s="253"/>
      <c r="I148" s="124"/>
    </row>
    <row r="149" spans="2:9" ht="24.95" customHeight="1">
      <c r="B149" s="266"/>
      <c r="C149" s="23"/>
      <c r="D149" s="23"/>
      <c r="E149" s="261"/>
      <c r="F149" s="123"/>
      <c r="G149" s="261"/>
      <c r="H149" s="253"/>
      <c r="I149" s="124"/>
    </row>
    <row r="150" spans="2:9" ht="24.95" customHeight="1">
      <c r="B150" s="266"/>
      <c r="C150" s="23"/>
      <c r="D150" s="23"/>
      <c r="E150" s="261"/>
      <c r="F150" s="123"/>
      <c r="G150" s="261"/>
      <c r="H150" s="253"/>
      <c r="I150" s="124"/>
    </row>
    <row r="151" spans="2:9" ht="24.95" customHeight="1">
      <c r="B151" s="266"/>
      <c r="C151" s="23"/>
      <c r="D151" s="23"/>
      <c r="E151" s="261"/>
      <c r="F151" s="123"/>
      <c r="G151" s="261"/>
      <c r="H151" s="253"/>
      <c r="I151" s="124"/>
    </row>
    <row r="152" spans="2:9" ht="24.95" customHeight="1">
      <c r="B152" s="266"/>
      <c r="C152" s="23"/>
      <c r="D152" s="23"/>
      <c r="E152" s="261"/>
      <c r="F152" s="123"/>
      <c r="G152" s="261"/>
      <c r="H152" s="253"/>
      <c r="I152" s="124"/>
    </row>
    <row r="153" spans="2:9" ht="24.95" customHeight="1">
      <c r="B153" s="266"/>
      <c r="C153" s="23"/>
      <c r="D153" s="23"/>
      <c r="E153" s="261"/>
      <c r="F153" s="123"/>
      <c r="G153" s="261"/>
      <c r="H153" s="253"/>
      <c r="I153" s="124"/>
    </row>
    <row r="154" spans="2:9" ht="24.95" customHeight="1">
      <c r="B154" s="266"/>
      <c r="C154" s="23"/>
      <c r="D154" s="23"/>
      <c r="E154" s="261"/>
      <c r="F154" s="123"/>
      <c r="G154" s="261"/>
      <c r="H154" s="253"/>
      <c r="I154" s="124"/>
    </row>
    <row r="155" spans="2:9" ht="24.95" customHeight="1">
      <c r="B155" s="266"/>
      <c r="C155" s="23"/>
      <c r="D155" s="23"/>
      <c r="E155" s="261"/>
      <c r="F155" s="123"/>
      <c r="G155" s="261"/>
      <c r="H155" s="253"/>
      <c r="I155" s="124"/>
    </row>
    <row r="156" spans="2:9" ht="24.95" customHeight="1">
      <c r="B156" s="266"/>
      <c r="C156" s="23"/>
      <c r="D156" s="23"/>
      <c r="E156" s="261"/>
      <c r="F156" s="123"/>
      <c r="G156" s="261"/>
      <c r="H156" s="253"/>
      <c r="I156" s="124"/>
    </row>
    <row r="157" spans="2:9" ht="24.95" customHeight="1">
      <c r="B157" s="266"/>
      <c r="C157" s="23"/>
      <c r="D157" s="23"/>
      <c r="E157" s="261"/>
      <c r="F157" s="123"/>
      <c r="G157" s="261"/>
      <c r="H157" s="253"/>
      <c r="I157" s="124"/>
    </row>
    <row r="158" spans="2:9" ht="24.95" customHeight="1">
      <c r="B158" s="266"/>
      <c r="C158" s="23"/>
      <c r="D158" s="23"/>
      <c r="E158" s="261"/>
      <c r="F158" s="123"/>
      <c r="G158" s="261"/>
      <c r="H158" s="253"/>
      <c r="I158" s="124"/>
    </row>
    <row r="159" spans="2:9" ht="24.95" customHeight="1">
      <c r="B159" s="266"/>
      <c r="C159" s="23"/>
      <c r="D159" s="23"/>
      <c r="E159" s="261"/>
      <c r="F159" s="123"/>
      <c r="G159" s="261"/>
      <c r="H159" s="253"/>
      <c r="I159" s="124"/>
    </row>
    <row r="160" spans="2:9" ht="24.95" customHeight="1">
      <c r="B160" s="266"/>
      <c r="C160" s="23"/>
      <c r="D160" s="23"/>
      <c r="E160" s="261"/>
      <c r="F160" s="123"/>
      <c r="G160" s="261"/>
      <c r="H160" s="253"/>
      <c r="I160" s="124"/>
    </row>
    <row r="161" spans="2:9" ht="24.95" customHeight="1">
      <c r="B161" s="266"/>
      <c r="C161" s="23"/>
      <c r="D161" s="23"/>
      <c r="E161" s="261"/>
      <c r="F161" s="123"/>
      <c r="G161" s="261"/>
      <c r="H161" s="253"/>
      <c r="I161" s="124"/>
    </row>
    <row r="162" spans="2:9" ht="24.95" customHeight="1">
      <c r="B162" s="266"/>
      <c r="C162" s="23"/>
      <c r="D162" s="23"/>
      <c r="E162" s="261"/>
      <c r="F162" s="123"/>
      <c r="G162" s="261"/>
      <c r="H162" s="253"/>
      <c r="I162" s="124"/>
    </row>
    <row r="163" spans="2:9" ht="24.95" customHeight="1">
      <c r="B163" s="266"/>
      <c r="C163" s="23"/>
      <c r="D163" s="23"/>
      <c r="E163" s="261"/>
      <c r="F163" s="123"/>
      <c r="G163" s="261"/>
      <c r="H163" s="253"/>
      <c r="I163" s="124"/>
    </row>
    <row r="164" spans="2:9" ht="24.95" customHeight="1">
      <c r="B164" s="266"/>
      <c r="C164" s="23"/>
      <c r="D164" s="23"/>
      <c r="E164" s="261"/>
      <c r="F164" s="123"/>
      <c r="G164" s="261"/>
      <c r="H164" s="253"/>
      <c r="I164" s="124"/>
    </row>
    <row r="165" spans="2:9" ht="24.95" customHeight="1">
      <c r="B165" s="266"/>
      <c r="C165" s="23"/>
      <c r="D165" s="23"/>
      <c r="E165" s="261"/>
      <c r="F165" s="123"/>
      <c r="G165" s="261"/>
      <c r="H165" s="253"/>
      <c r="I165" s="124"/>
    </row>
    <row r="166" spans="2:9" ht="24.95" customHeight="1">
      <c r="B166" s="266"/>
      <c r="C166" s="23"/>
      <c r="D166" s="23"/>
      <c r="E166" s="261"/>
      <c r="F166" s="123"/>
      <c r="G166" s="261"/>
      <c r="H166" s="253"/>
      <c r="I166" s="124"/>
    </row>
    <row r="167" spans="2:9" ht="24.95" customHeight="1">
      <c r="B167" s="266"/>
      <c r="C167" s="23"/>
      <c r="D167" s="23"/>
      <c r="E167" s="261"/>
      <c r="F167" s="123"/>
      <c r="G167" s="261"/>
      <c r="H167" s="253"/>
      <c r="I167" s="124"/>
    </row>
    <row r="168" spans="2:9" ht="24.95" customHeight="1">
      <c r="B168" s="266"/>
      <c r="C168" s="23"/>
      <c r="D168" s="23"/>
      <c r="E168" s="261"/>
      <c r="F168" s="123"/>
      <c r="G168" s="261"/>
      <c r="H168" s="253"/>
      <c r="I168" s="124"/>
    </row>
    <row r="169" spans="2:9" ht="24.95" customHeight="1">
      <c r="B169" s="266"/>
      <c r="C169" s="23"/>
      <c r="D169" s="23"/>
      <c r="E169" s="261"/>
      <c r="F169" s="123"/>
      <c r="G169" s="261"/>
      <c r="H169" s="253"/>
      <c r="I169" s="124"/>
    </row>
    <row r="170" spans="2:9" ht="24.95" customHeight="1">
      <c r="B170" s="266"/>
      <c r="C170" s="23"/>
      <c r="D170" s="23"/>
      <c r="E170" s="261"/>
      <c r="F170" s="123"/>
      <c r="G170" s="261"/>
      <c r="H170" s="253"/>
      <c r="I170" s="124"/>
    </row>
    <row r="171" spans="2:9" ht="24.95" customHeight="1">
      <c r="B171" s="266"/>
      <c r="C171" s="23"/>
      <c r="D171" s="23"/>
      <c r="E171" s="261"/>
      <c r="F171" s="123"/>
      <c r="G171" s="261"/>
      <c r="H171" s="253"/>
      <c r="I171" s="124"/>
    </row>
    <row r="172" spans="2:9" ht="24.95" customHeight="1">
      <c r="B172" s="266"/>
      <c r="C172" s="23"/>
      <c r="D172" s="23"/>
      <c r="E172" s="261"/>
      <c r="F172" s="123"/>
      <c r="G172" s="261"/>
      <c r="H172" s="253"/>
      <c r="I172" s="124"/>
    </row>
    <row r="173" spans="2:9" ht="24.95" customHeight="1">
      <c r="B173" s="266"/>
      <c r="C173" s="23"/>
      <c r="D173" s="23"/>
      <c r="E173" s="261"/>
      <c r="F173" s="123"/>
      <c r="G173" s="261"/>
      <c r="H173" s="253"/>
      <c r="I173" s="124"/>
    </row>
    <row r="174" spans="2:9" ht="24.95" customHeight="1">
      <c r="B174" s="266"/>
      <c r="C174" s="23"/>
      <c r="D174" s="23"/>
      <c r="E174" s="261"/>
      <c r="F174" s="123"/>
      <c r="G174" s="261"/>
      <c r="H174" s="253"/>
      <c r="I174" s="124"/>
    </row>
    <row r="175" spans="2:9" ht="24.95" customHeight="1">
      <c r="B175" s="266"/>
      <c r="C175" s="23"/>
      <c r="D175" s="23"/>
      <c r="E175" s="261"/>
      <c r="F175" s="123"/>
      <c r="G175" s="261"/>
      <c r="H175" s="253"/>
      <c r="I175" s="124"/>
    </row>
    <row r="176" spans="2:9" ht="24.95" customHeight="1">
      <c r="B176" s="266"/>
      <c r="C176" s="23"/>
      <c r="D176" s="23"/>
      <c r="E176" s="261"/>
      <c r="F176" s="123"/>
      <c r="G176" s="261"/>
      <c r="H176" s="253"/>
      <c r="I176" s="124"/>
    </row>
    <row r="177" spans="2:9" ht="24.95" customHeight="1">
      <c r="B177" s="266"/>
      <c r="C177" s="23"/>
      <c r="D177" s="23"/>
      <c r="E177" s="261"/>
      <c r="F177" s="123"/>
      <c r="G177" s="261"/>
      <c r="H177" s="253"/>
      <c r="I177" s="124"/>
    </row>
    <row r="178" spans="2:9" ht="24.95" customHeight="1">
      <c r="B178" s="266"/>
      <c r="C178" s="23"/>
      <c r="D178" s="23"/>
      <c r="E178" s="261"/>
      <c r="F178" s="123"/>
      <c r="G178" s="261"/>
      <c r="H178" s="253"/>
      <c r="I178" s="124"/>
    </row>
    <row r="179" spans="2:9" ht="24.95" customHeight="1">
      <c r="B179" s="266"/>
      <c r="C179" s="23"/>
      <c r="D179" s="23"/>
      <c r="E179" s="261"/>
      <c r="F179" s="123"/>
      <c r="G179" s="261"/>
      <c r="H179" s="253"/>
      <c r="I179" s="124"/>
    </row>
    <row r="180" spans="2:9" ht="24.95" customHeight="1">
      <c r="B180" s="266"/>
      <c r="C180" s="23"/>
      <c r="D180" s="23"/>
      <c r="E180" s="261"/>
      <c r="F180" s="123"/>
      <c r="G180" s="261"/>
      <c r="H180" s="253"/>
      <c r="I180" s="124"/>
    </row>
    <row r="181" spans="2:9" ht="24.95" customHeight="1">
      <c r="B181" s="266"/>
      <c r="C181" s="23"/>
      <c r="D181" s="23"/>
      <c r="E181" s="261"/>
      <c r="F181" s="123"/>
      <c r="G181" s="261"/>
      <c r="H181" s="253"/>
      <c r="I181" s="124"/>
    </row>
    <row r="182" spans="2:9" ht="24.95" customHeight="1">
      <c r="B182" s="266"/>
      <c r="C182" s="23"/>
      <c r="D182" s="23"/>
      <c r="E182" s="261"/>
      <c r="F182" s="123"/>
      <c r="G182" s="261"/>
      <c r="H182" s="253"/>
      <c r="I182" s="124"/>
    </row>
    <row r="183" spans="2:9" ht="24.95" customHeight="1">
      <c r="B183" s="266"/>
      <c r="C183" s="23"/>
      <c r="D183" s="23"/>
      <c r="E183" s="261"/>
      <c r="F183" s="123"/>
      <c r="G183" s="261"/>
      <c r="H183" s="253"/>
      <c r="I183" s="124"/>
    </row>
    <row r="184" spans="2:9" ht="24.95" customHeight="1">
      <c r="B184" s="266"/>
      <c r="C184" s="23"/>
      <c r="D184" s="23"/>
      <c r="E184" s="261"/>
      <c r="F184" s="123"/>
      <c r="G184" s="261"/>
      <c r="H184" s="253"/>
      <c r="I184" s="124"/>
    </row>
    <row r="185" spans="2:9" ht="24.95" customHeight="1">
      <c r="B185" s="266"/>
      <c r="C185" s="23"/>
      <c r="D185" s="23"/>
      <c r="E185" s="261"/>
      <c r="F185" s="123"/>
      <c r="G185" s="261"/>
      <c r="H185" s="253"/>
      <c r="I185" s="124"/>
    </row>
    <row r="186" spans="2:9" ht="24.95" customHeight="1">
      <c r="B186" s="266"/>
      <c r="C186" s="23"/>
      <c r="D186" s="23"/>
      <c r="E186" s="261"/>
      <c r="F186" s="123"/>
      <c r="G186" s="261"/>
      <c r="H186" s="253"/>
      <c r="I186" s="124"/>
    </row>
    <row r="187" spans="2:9" ht="24.95" customHeight="1">
      <c r="B187" s="266"/>
      <c r="C187" s="23"/>
      <c r="D187" s="23"/>
      <c r="E187" s="261"/>
      <c r="F187" s="123"/>
      <c r="G187" s="261"/>
      <c r="H187" s="253"/>
      <c r="I187" s="124"/>
    </row>
    <row r="188" spans="2:9" ht="24.95" customHeight="1">
      <c r="B188" s="266"/>
      <c r="C188" s="23"/>
      <c r="D188" s="23"/>
      <c r="E188" s="261"/>
      <c r="F188" s="123"/>
      <c r="G188" s="261"/>
      <c r="H188" s="253"/>
      <c r="I188" s="124"/>
    </row>
    <row r="189" spans="2:9" ht="24.95" customHeight="1">
      <c r="B189" s="266"/>
      <c r="C189" s="23"/>
      <c r="D189" s="23"/>
      <c r="E189" s="261"/>
      <c r="F189" s="123"/>
      <c r="G189" s="261"/>
      <c r="H189" s="253"/>
      <c r="I189" s="124"/>
    </row>
    <row r="190" spans="2:9" ht="24.95" customHeight="1">
      <c r="B190" s="266"/>
      <c r="C190" s="23"/>
      <c r="D190" s="23"/>
      <c r="E190" s="261"/>
      <c r="F190" s="123"/>
      <c r="G190" s="261"/>
      <c r="H190" s="253"/>
      <c r="I190" s="124"/>
    </row>
    <row r="191" spans="2:9" ht="24.95" customHeight="1">
      <c r="B191" s="266"/>
      <c r="C191" s="23"/>
      <c r="D191" s="23"/>
      <c r="E191" s="261"/>
      <c r="F191" s="123"/>
      <c r="G191" s="261"/>
      <c r="H191" s="253"/>
      <c r="I191" s="124"/>
    </row>
    <row r="192" spans="2:9" ht="24.95" customHeight="1">
      <c r="B192" s="266"/>
      <c r="C192" s="23"/>
      <c r="D192" s="23"/>
      <c r="E192" s="261"/>
      <c r="F192" s="123"/>
      <c r="G192" s="261"/>
      <c r="H192" s="253"/>
      <c r="I192" s="124"/>
    </row>
    <row r="193" spans="2:9" ht="24.95" customHeight="1">
      <c r="B193" s="266"/>
      <c r="C193" s="23"/>
      <c r="D193" s="23"/>
      <c r="E193" s="261"/>
      <c r="F193" s="123"/>
      <c r="G193" s="261"/>
      <c r="H193" s="253"/>
      <c r="I193" s="124"/>
    </row>
    <row r="194" spans="2:9" ht="24.95" customHeight="1">
      <c r="B194" s="266"/>
      <c r="C194" s="23"/>
      <c r="D194" s="23"/>
      <c r="E194" s="261"/>
      <c r="F194" s="123"/>
      <c r="G194" s="261"/>
      <c r="H194" s="253"/>
      <c r="I194" s="124"/>
    </row>
    <row r="195" spans="2:9" ht="24.95" customHeight="1">
      <c r="B195" s="266"/>
      <c r="C195" s="23"/>
      <c r="D195" s="23"/>
      <c r="E195" s="261"/>
      <c r="F195" s="123"/>
      <c r="G195" s="261"/>
      <c r="H195" s="253"/>
      <c r="I195" s="124"/>
    </row>
    <row r="196" spans="2:9" ht="24.95" customHeight="1">
      <c r="B196" s="266"/>
      <c r="C196" s="23"/>
      <c r="D196" s="23"/>
      <c r="E196" s="261"/>
      <c r="F196" s="123"/>
      <c r="G196" s="261"/>
      <c r="H196" s="253"/>
      <c r="I196" s="124"/>
    </row>
    <row r="197" spans="2:9" ht="24.95" customHeight="1">
      <c r="B197" s="266"/>
      <c r="C197" s="23"/>
      <c r="D197" s="23"/>
      <c r="E197" s="261"/>
      <c r="F197" s="123"/>
      <c r="G197" s="261"/>
      <c r="H197" s="253"/>
      <c r="I197" s="124"/>
    </row>
    <row r="198" spans="2:9" ht="24.95" customHeight="1">
      <c r="B198" s="266"/>
      <c r="C198" s="23"/>
      <c r="D198" s="23"/>
      <c r="E198" s="261"/>
      <c r="F198" s="123"/>
      <c r="G198" s="261"/>
      <c r="H198" s="253"/>
      <c r="I198" s="124"/>
    </row>
    <row r="199" spans="2:9" ht="24.95" customHeight="1">
      <c r="B199" s="266"/>
      <c r="C199" s="23"/>
      <c r="D199" s="23"/>
      <c r="E199" s="261"/>
      <c r="F199" s="123"/>
      <c r="G199" s="261"/>
      <c r="H199" s="253"/>
      <c r="I199" s="124"/>
    </row>
    <row r="200" spans="2:9" ht="24.95" customHeight="1">
      <c r="B200" s="266"/>
      <c r="C200" s="23"/>
      <c r="D200" s="23"/>
      <c r="E200" s="261"/>
      <c r="F200" s="123"/>
      <c r="G200" s="261"/>
      <c r="H200" s="253"/>
      <c r="I200" s="124"/>
    </row>
    <row r="201" spans="2:9" ht="24.95" customHeight="1">
      <c r="B201" s="266"/>
      <c r="C201" s="23"/>
      <c r="D201" s="23"/>
      <c r="E201" s="261"/>
      <c r="F201" s="123"/>
      <c r="G201" s="261"/>
      <c r="H201" s="253"/>
      <c r="I201" s="124"/>
    </row>
    <row r="202" spans="2:9" ht="24.95" customHeight="1">
      <c r="B202" s="266"/>
      <c r="C202" s="23"/>
      <c r="D202" s="23"/>
      <c r="E202" s="261"/>
      <c r="F202" s="123"/>
      <c r="G202" s="261"/>
      <c r="H202" s="253"/>
      <c r="I202" s="124"/>
    </row>
    <row r="203" spans="2:9" ht="24.95" customHeight="1">
      <c r="B203" s="266"/>
      <c r="C203" s="23"/>
      <c r="D203" s="23"/>
      <c r="E203" s="261"/>
      <c r="F203" s="123"/>
      <c r="G203" s="261"/>
      <c r="H203" s="253"/>
      <c r="I203" s="124"/>
    </row>
    <row r="204" spans="2:9" ht="24.95" customHeight="1">
      <c r="B204" s="266"/>
      <c r="C204" s="23"/>
      <c r="D204" s="23"/>
      <c r="E204" s="261"/>
      <c r="F204" s="123"/>
      <c r="G204" s="261"/>
      <c r="H204" s="253"/>
      <c r="I204" s="124"/>
    </row>
    <row r="205" spans="2:9" ht="24.95" customHeight="1">
      <c r="B205" s="266"/>
      <c r="C205" s="23"/>
      <c r="D205" s="23"/>
      <c r="E205" s="261"/>
      <c r="F205" s="123"/>
      <c r="G205" s="261"/>
      <c r="H205" s="253"/>
      <c r="I205" s="124"/>
    </row>
    <row r="206" spans="2:9" ht="24.95" customHeight="1">
      <c r="B206" s="266"/>
      <c r="C206" s="23"/>
      <c r="D206" s="23"/>
      <c r="E206" s="261"/>
      <c r="F206" s="123"/>
      <c r="G206" s="261"/>
      <c r="H206" s="253"/>
      <c r="I206" s="124"/>
    </row>
    <row r="207" spans="2:9" ht="24.95" customHeight="1">
      <c r="B207" s="266"/>
      <c r="C207" s="23"/>
      <c r="D207" s="23"/>
      <c r="E207" s="261"/>
      <c r="F207" s="123"/>
      <c r="G207" s="261"/>
      <c r="H207" s="253"/>
      <c r="I207" s="124"/>
    </row>
    <row r="208" spans="2:9" ht="24.95" customHeight="1">
      <c r="B208" s="266"/>
      <c r="C208" s="23"/>
      <c r="D208" s="23"/>
      <c r="E208" s="261"/>
      <c r="F208" s="123"/>
      <c r="G208" s="261"/>
      <c r="H208" s="253"/>
      <c r="I208" s="124"/>
    </row>
    <row r="209" spans="2:9" ht="24.95" customHeight="1">
      <c r="B209" s="266"/>
      <c r="C209" s="23"/>
      <c r="D209" s="23"/>
      <c r="E209" s="261"/>
      <c r="F209" s="123"/>
      <c r="G209" s="261"/>
      <c r="H209" s="253"/>
      <c r="I209" s="124"/>
    </row>
    <row r="210" spans="2:9" ht="24.95" customHeight="1">
      <c r="B210" s="266"/>
      <c r="C210" s="23"/>
      <c r="D210" s="23"/>
      <c r="E210" s="261"/>
      <c r="F210" s="123"/>
      <c r="G210" s="261"/>
      <c r="H210" s="253"/>
      <c r="I210" s="124"/>
    </row>
    <row r="211" spans="2:9" ht="24.95" customHeight="1">
      <c r="B211" s="266"/>
      <c r="C211" s="23"/>
      <c r="D211" s="23"/>
      <c r="E211" s="261"/>
      <c r="F211" s="123"/>
      <c r="G211" s="261"/>
      <c r="H211" s="253"/>
      <c r="I211" s="124"/>
    </row>
    <row r="212" spans="2:9" ht="24.95" customHeight="1">
      <c r="B212" s="266"/>
      <c r="C212" s="23"/>
      <c r="D212" s="23"/>
      <c r="E212" s="261"/>
      <c r="F212" s="123"/>
      <c r="G212" s="261"/>
      <c r="H212" s="253"/>
      <c r="I212" s="124"/>
    </row>
    <row r="213" spans="2:9" ht="24.95" customHeight="1">
      <c r="B213" s="266"/>
      <c r="C213" s="23"/>
      <c r="D213" s="23"/>
      <c r="E213" s="261"/>
      <c r="F213" s="123"/>
      <c r="G213" s="261"/>
      <c r="H213" s="253"/>
      <c r="I213" s="124"/>
    </row>
    <row r="214" spans="2:9" ht="24.95" customHeight="1">
      <c r="B214" s="266"/>
      <c r="C214" s="23"/>
      <c r="D214" s="23"/>
      <c r="E214" s="261"/>
      <c r="F214" s="123"/>
      <c r="G214" s="261"/>
      <c r="H214" s="253"/>
      <c r="I214" s="124"/>
    </row>
    <row r="215" spans="2:9" ht="24.95" customHeight="1">
      <c r="B215" s="266"/>
      <c r="C215" s="23"/>
      <c r="D215" s="23"/>
      <c r="E215" s="261"/>
      <c r="F215" s="123"/>
      <c r="G215" s="261"/>
      <c r="H215" s="253"/>
      <c r="I215" s="124"/>
    </row>
    <row r="216" spans="2:9" ht="24.95" customHeight="1">
      <c r="B216" s="266"/>
      <c r="C216" s="23"/>
      <c r="D216" s="23"/>
      <c r="E216" s="261"/>
      <c r="F216" s="123"/>
      <c r="G216" s="261"/>
      <c r="H216" s="253"/>
      <c r="I216" s="124"/>
    </row>
    <row r="217" spans="2:9" ht="24.95" customHeight="1">
      <c r="B217" s="266"/>
      <c r="C217" s="23"/>
      <c r="D217" s="23"/>
      <c r="E217" s="261"/>
      <c r="F217" s="123"/>
      <c r="G217" s="261"/>
      <c r="H217" s="253"/>
      <c r="I217" s="124"/>
    </row>
    <row r="218" spans="2:9" ht="24.95" customHeight="1">
      <c r="B218" s="266"/>
      <c r="C218" s="23"/>
      <c r="D218" s="23"/>
      <c r="E218" s="261"/>
      <c r="F218" s="123"/>
      <c r="G218" s="261"/>
      <c r="H218" s="253"/>
      <c r="I218" s="124"/>
    </row>
    <row r="219" spans="2:9" ht="24.95" customHeight="1">
      <c r="B219" s="266"/>
      <c r="C219" s="23"/>
      <c r="D219" s="23"/>
      <c r="E219" s="261"/>
      <c r="F219" s="123"/>
      <c r="G219" s="261"/>
      <c r="H219" s="253"/>
      <c r="I219" s="124"/>
    </row>
    <row r="220" spans="2:9" ht="24.95" customHeight="1">
      <c r="B220" s="266"/>
      <c r="C220" s="23"/>
      <c r="D220" s="23"/>
      <c r="E220" s="261"/>
      <c r="F220" s="123"/>
      <c r="G220" s="261"/>
      <c r="H220" s="253"/>
      <c r="I220" s="124"/>
    </row>
    <row r="221" spans="2:9" ht="24.95" customHeight="1">
      <c r="B221" s="266"/>
      <c r="C221" s="23"/>
      <c r="D221" s="23"/>
      <c r="E221" s="261"/>
      <c r="F221" s="123"/>
      <c r="G221" s="261"/>
      <c r="H221" s="253"/>
      <c r="I221" s="124"/>
    </row>
    <row r="222" spans="2:9" ht="24.95" customHeight="1">
      <c r="B222" s="266"/>
      <c r="C222" s="23"/>
      <c r="D222" s="23"/>
      <c r="E222" s="261"/>
      <c r="F222" s="123"/>
      <c r="G222" s="261"/>
      <c r="H222" s="253"/>
      <c r="I222" s="124"/>
    </row>
    <row r="223" spans="2:9" ht="24.95" customHeight="1">
      <c r="B223" s="266"/>
      <c r="C223" s="23"/>
      <c r="D223" s="23"/>
      <c r="E223" s="261"/>
      <c r="F223" s="123"/>
      <c r="G223" s="261"/>
      <c r="H223" s="253"/>
      <c r="I223" s="124"/>
    </row>
    <row r="224" spans="2:9" ht="24.95" customHeight="1">
      <c r="B224" s="266"/>
      <c r="C224" s="23"/>
      <c r="D224" s="23"/>
      <c r="E224" s="261"/>
      <c r="F224" s="123"/>
      <c r="G224" s="261"/>
      <c r="H224" s="253"/>
      <c r="I224" s="124"/>
    </row>
    <row r="225" spans="2:9" ht="24.95" customHeight="1">
      <c r="B225" s="266"/>
      <c r="C225" s="23"/>
      <c r="D225" s="23"/>
      <c r="E225" s="261"/>
      <c r="F225" s="123"/>
      <c r="G225" s="261"/>
      <c r="H225" s="253"/>
      <c r="I225" s="124"/>
    </row>
    <row r="226" spans="2:9" ht="24.95" customHeight="1">
      <c r="B226" s="266"/>
      <c r="C226" s="23"/>
      <c r="D226" s="23"/>
      <c r="E226" s="261"/>
      <c r="F226" s="123"/>
      <c r="G226" s="261"/>
      <c r="H226" s="253"/>
      <c r="I226" s="124"/>
    </row>
    <row r="227" spans="2:9" ht="24.95" customHeight="1">
      <c r="B227" s="266"/>
      <c r="C227" s="23"/>
      <c r="D227" s="23"/>
      <c r="E227" s="261"/>
      <c r="F227" s="123"/>
      <c r="G227" s="261"/>
      <c r="H227" s="253"/>
      <c r="I227" s="124"/>
    </row>
    <row r="228" spans="2:9" ht="24.95" customHeight="1">
      <c r="B228" s="266"/>
      <c r="C228" s="23"/>
      <c r="D228" s="23"/>
      <c r="E228" s="261"/>
      <c r="F228" s="123"/>
      <c r="G228" s="261"/>
      <c r="H228" s="253"/>
      <c r="I228" s="124"/>
    </row>
    <row r="229" spans="2:9" ht="24.95" customHeight="1">
      <c r="B229" s="266"/>
      <c r="C229" s="23"/>
      <c r="D229" s="23"/>
      <c r="E229" s="261"/>
      <c r="F229" s="123"/>
      <c r="G229" s="261"/>
      <c r="H229" s="253"/>
      <c r="I229" s="124"/>
    </row>
    <row r="230" spans="2:9" ht="24.95" customHeight="1">
      <c r="B230" s="266"/>
      <c r="C230" s="23"/>
      <c r="D230" s="23"/>
      <c r="E230" s="261"/>
      <c r="F230" s="123"/>
      <c r="G230" s="261"/>
      <c r="H230" s="253"/>
      <c r="I230" s="124"/>
    </row>
    <row r="231" spans="2:9" ht="24.95" customHeight="1">
      <c r="B231" s="266"/>
      <c r="C231" s="23"/>
      <c r="D231" s="23"/>
      <c r="E231" s="261"/>
      <c r="F231" s="123"/>
      <c r="G231" s="261"/>
      <c r="H231" s="253"/>
      <c r="I231" s="124"/>
    </row>
    <row r="232" spans="2:9" ht="24.95" customHeight="1">
      <c r="B232" s="266"/>
      <c r="C232" s="23"/>
      <c r="D232" s="23"/>
      <c r="E232" s="261"/>
      <c r="F232" s="123"/>
      <c r="G232" s="261"/>
      <c r="H232" s="253"/>
      <c r="I232" s="124"/>
    </row>
    <row r="233" spans="2:9" ht="24.95" customHeight="1">
      <c r="B233" s="266"/>
      <c r="C233" s="23"/>
      <c r="D233" s="23"/>
      <c r="E233" s="261"/>
      <c r="F233" s="123"/>
      <c r="G233" s="261"/>
      <c r="H233" s="253"/>
      <c r="I233" s="124"/>
    </row>
    <row r="234" spans="2:9" ht="24.95" customHeight="1">
      <c r="B234" s="266"/>
      <c r="C234" s="23"/>
      <c r="D234" s="23"/>
      <c r="E234" s="261"/>
      <c r="F234" s="123"/>
      <c r="G234" s="261"/>
      <c r="H234" s="253"/>
      <c r="I234" s="124"/>
    </row>
    <row r="235" spans="2:9" ht="24.95" customHeight="1">
      <c r="B235" s="266"/>
      <c r="C235" s="23"/>
      <c r="D235" s="23"/>
      <c r="E235" s="261"/>
      <c r="F235" s="123"/>
      <c r="G235" s="261"/>
      <c r="H235" s="253"/>
      <c r="I235" s="124"/>
    </row>
    <row r="236" spans="2:9" ht="24.95" customHeight="1">
      <c r="B236" s="266"/>
      <c r="C236" s="23"/>
      <c r="D236" s="23"/>
      <c r="E236" s="261"/>
      <c r="F236" s="123"/>
      <c r="G236" s="261"/>
      <c r="H236" s="253"/>
      <c r="I236" s="124"/>
    </row>
    <row r="237" spans="2:9" ht="24.95" customHeight="1">
      <c r="B237" s="266"/>
      <c r="C237" s="23"/>
      <c r="D237" s="23"/>
      <c r="E237" s="261"/>
      <c r="F237" s="123"/>
      <c r="G237" s="261"/>
      <c r="H237" s="253"/>
      <c r="I237" s="124"/>
    </row>
    <row r="238" spans="2:9" ht="24.95" customHeight="1">
      <c r="B238" s="266"/>
      <c r="C238" s="23"/>
      <c r="D238" s="23"/>
      <c r="E238" s="261"/>
      <c r="F238" s="123"/>
      <c r="G238" s="261"/>
      <c r="H238" s="253"/>
      <c r="I238" s="124"/>
    </row>
    <row r="239" spans="2:9" ht="24.95" customHeight="1">
      <c r="B239" s="266"/>
      <c r="C239" s="23"/>
      <c r="D239" s="23"/>
      <c r="E239" s="261"/>
      <c r="F239" s="123"/>
      <c r="G239" s="261"/>
      <c r="H239" s="253"/>
      <c r="I239" s="124"/>
    </row>
    <row r="240" spans="2:9" ht="24.95" customHeight="1">
      <c r="B240" s="281"/>
      <c r="C240" s="282"/>
      <c r="D240" s="282"/>
      <c r="E240" s="280"/>
      <c r="F240" s="264"/>
      <c r="G240" s="265"/>
      <c r="H240" s="253"/>
      <c r="I240" s="124"/>
    </row>
    <row r="241" spans="2:9" ht="24.95" customHeight="1">
      <c r="B241" s="266"/>
      <c r="C241" s="23"/>
      <c r="D241" s="23"/>
      <c r="E241" s="261"/>
      <c r="F241" s="123"/>
      <c r="G241" s="261"/>
      <c r="H241" s="253"/>
      <c r="I241" s="124"/>
    </row>
    <row r="242" spans="2:9" ht="24.95" customHeight="1">
      <c r="B242" s="266"/>
      <c r="C242" s="23"/>
      <c r="D242" s="23"/>
      <c r="E242" s="261"/>
      <c r="F242" s="123"/>
      <c r="G242" s="261"/>
      <c r="H242" s="253"/>
      <c r="I242" s="124"/>
    </row>
    <row r="243" spans="2:9" ht="24.95" customHeight="1">
      <c r="B243" s="266"/>
      <c r="C243" s="23"/>
      <c r="D243" s="23"/>
      <c r="E243" s="261"/>
      <c r="F243" s="123"/>
      <c r="G243" s="261"/>
      <c r="H243" s="253"/>
      <c r="I243" s="124"/>
    </row>
    <row r="244" spans="2:9" ht="24.95" customHeight="1">
      <c r="B244" s="266"/>
      <c r="C244" s="23"/>
      <c r="D244" s="23"/>
      <c r="E244" s="261"/>
      <c r="F244" s="123"/>
      <c r="G244" s="261"/>
      <c r="H244" s="253"/>
      <c r="I244" s="124"/>
    </row>
    <row r="245" spans="2:9" ht="24.95" customHeight="1">
      <c r="B245" s="266"/>
      <c r="C245" s="23"/>
      <c r="D245" s="23"/>
      <c r="E245" s="261"/>
      <c r="F245" s="123"/>
      <c r="G245" s="261"/>
      <c r="H245" s="253"/>
      <c r="I245" s="124"/>
    </row>
    <row r="246" spans="2:9" ht="24.95" customHeight="1">
      <c r="B246" s="266"/>
      <c r="C246" s="23"/>
      <c r="D246" s="23"/>
      <c r="E246" s="261"/>
      <c r="F246" s="123"/>
      <c r="G246" s="261"/>
      <c r="H246" s="253"/>
      <c r="I246" s="124"/>
    </row>
    <row r="247" spans="2:9" ht="24.95" customHeight="1">
      <c r="B247" s="266"/>
      <c r="C247" s="23"/>
      <c r="D247" s="23"/>
      <c r="E247" s="261"/>
      <c r="F247" s="123"/>
      <c r="G247" s="261"/>
      <c r="H247" s="253"/>
      <c r="I247" s="124"/>
    </row>
    <row r="248" spans="2:9" ht="24.95" customHeight="1">
      <c r="B248" s="266"/>
      <c r="C248" s="23"/>
      <c r="D248" s="23"/>
      <c r="E248" s="261"/>
      <c r="F248" s="123"/>
      <c r="G248" s="261"/>
      <c r="H248" s="253"/>
      <c r="I248" s="124"/>
    </row>
    <row r="249" spans="2:9" ht="24.95" customHeight="1">
      <c r="B249" s="266"/>
      <c r="C249" s="23"/>
      <c r="D249" s="23"/>
      <c r="E249" s="261"/>
      <c r="F249" s="123"/>
      <c r="G249" s="261"/>
      <c r="H249" s="253"/>
      <c r="I249" s="124"/>
    </row>
    <row r="250" spans="2:9" ht="24.95" customHeight="1">
      <c r="B250" s="266"/>
      <c r="C250" s="23"/>
      <c r="D250" s="23"/>
      <c r="E250" s="261"/>
      <c r="F250" s="123"/>
      <c r="G250" s="261"/>
      <c r="H250" s="253"/>
      <c r="I250" s="124"/>
    </row>
    <row r="251" spans="2:9" ht="24.95" customHeight="1">
      <c r="B251" s="266"/>
      <c r="C251" s="23"/>
      <c r="D251" s="23"/>
      <c r="E251" s="261"/>
      <c r="F251" s="123"/>
      <c r="G251" s="261"/>
      <c r="H251" s="253"/>
      <c r="I251" s="124"/>
    </row>
    <row r="252" spans="2:9" ht="24.95" customHeight="1">
      <c r="B252" s="266"/>
      <c r="C252" s="23"/>
      <c r="D252" s="23"/>
      <c r="E252" s="261"/>
      <c r="F252" s="123"/>
      <c r="G252" s="261"/>
      <c r="H252" s="253"/>
      <c r="I252" s="124"/>
    </row>
    <row r="253" spans="2:9" ht="24.95" customHeight="1">
      <c r="B253" s="266"/>
      <c r="C253" s="23"/>
      <c r="D253" s="23"/>
      <c r="E253" s="261"/>
      <c r="F253" s="123"/>
      <c r="G253" s="261"/>
      <c r="H253" s="253"/>
      <c r="I253" s="124"/>
    </row>
    <row r="254" spans="2:9" ht="24.95" customHeight="1">
      <c r="B254" s="266"/>
      <c r="C254" s="23"/>
      <c r="D254" s="23"/>
      <c r="E254" s="261"/>
      <c r="F254" s="123"/>
      <c r="G254" s="261"/>
      <c r="H254" s="253"/>
      <c r="I254" s="124"/>
    </row>
    <row r="255" spans="2:9" ht="24.95" customHeight="1">
      <c r="B255" s="266"/>
      <c r="C255" s="23"/>
      <c r="D255" s="23"/>
      <c r="E255" s="261"/>
      <c r="F255" s="123"/>
      <c r="G255" s="261"/>
      <c r="H255" s="253"/>
      <c r="I255" s="124"/>
    </row>
    <row r="256" spans="2:9" ht="24.95" customHeight="1">
      <c r="B256" s="266"/>
      <c r="C256" s="23"/>
      <c r="D256" s="23"/>
      <c r="E256" s="261"/>
      <c r="F256" s="123"/>
      <c r="G256" s="261"/>
      <c r="H256" s="253"/>
      <c r="I256" s="124"/>
    </row>
    <row r="257" spans="2:9" ht="24.95" customHeight="1">
      <c r="B257" s="266"/>
      <c r="C257" s="23"/>
      <c r="D257" s="23"/>
      <c r="E257" s="261"/>
      <c r="F257" s="123"/>
      <c r="G257" s="261"/>
      <c r="H257" s="253"/>
      <c r="I257" s="124"/>
    </row>
    <row r="258" spans="2:9" ht="24.95" customHeight="1">
      <c r="B258" s="266"/>
      <c r="C258" s="23"/>
      <c r="D258" s="23"/>
      <c r="E258" s="261"/>
      <c r="F258" s="123"/>
      <c r="G258" s="261"/>
      <c r="H258" s="253"/>
      <c r="I258" s="124"/>
    </row>
    <row r="259" spans="2:9" ht="24.95" customHeight="1">
      <c r="B259" s="266"/>
      <c r="C259" s="23"/>
      <c r="D259" s="23"/>
      <c r="E259" s="261"/>
      <c r="F259" s="123"/>
      <c r="G259" s="261"/>
      <c r="H259" s="253"/>
      <c r="I259" s="124"/>
    </row>
    <row r="260" spans="2:9" ht="24.95" customHeight="1">
      <c r="B260" s="266"/>
      <c r="C260" s="23"/>
      <c r="D260" s="23"/>
      <c r="E260" s="261"/>
      <c r="F260" s="123"/>
      <c r="G260" s="261"/>
      <c r="H260" s="253"/>
      <c r="I260" s="124"/>
    </row>
    <row r="261" spans="2:9" ht="24.95" customHeight="1">
      <c r="B261" s="281"/>
      <c r="C261" s="282"/>
      <c r="D261" s="282"/>
      <c r="E261" s="280"/>
      <c r="F261" s="264"/>
      <c r="G261" s="263"/>
      <c r="H261" s="253"/>
      <c r="I261" s="124"/>
    </row>
    <row r="262" spans="2:9" ht="24.95" customHeight="1">
      <c r="B262" s="266"/>
      <c r="C262" s="23"/>
      <c r="D262" s="23"/>
      <c r="E262" s="261"/>
      <c r="F262" s="123"/>
      <c r="G262" s="261"/>
      <c r="H262" s="253"/>
      <c r="I262" s="124"/>
    </row>
    <row r="263" spans="2:9" ht="24.95" customHeight="1">
      <c r="B263" s="281"/>
      <c r="C263" s="282"/>
      <c r="D263" s="282"/>
      <c r="E263" s="280"/>
      <c r="F263" s="264"/>
      <c r="G263" s="265"/>
      <c r="H263" s="253"/>
      <c r="I263" s="124"/>
    </row>
    <row r="264" spans="2:9" ht="24.95" customHeight="1">
      <c r="B264" s="266"/>
      <c r="C264" s="23"/>
      <c r="D264" s="23"/>
      <c r="E264" s="261"/>
      <c r="F264" s="123"/>
      <c r="G264" s="261"/>
      <c r="H264" s="253"/>
      <c r="I264" s="124"/>
    </row>
    <row r="265" spans="2:9" ht="24.95" customHeight="1">
      <c r="B265" s="266"/>
      <c r="C265" s="23"/>
      <c r="D265" s="23"/>
      <c r="E265" s="261"/>
      <c r="F265" s="123"/>
      <c r="G265" s="261"/>
      <c r="H265" s="253"/>
      <c r="I265" s="124"/>
    </row>
    <row r="266" spans="2:9" ht="24.95" customHeight="1">
      <c r="B266" s="266"/>
      <c r="C266" s="23"/>
      <c r="D266" s="23"/>
      <c r="E266" s="261"/>
      <c r="F266" s="123"/>
      <c r="G266" s="261"/>
      <c r="H266" s="253"/>
      <c r="I266" s="124"/>
    </row>
    <row r="267" spans="2:9" ht="24.95" customHeight="1">
      <c r="B267" s="266"/>
      <c r="C267" s="23"/>
      <c r="D267" s="23"/>
      <c r="E267" s="261"/>
      <c r="F267" s="123"/>
      <c r="G267" s="261"/>
      <c r="H267" s="253"/>
      <c r="I267" s="124"/>
    </row>
    <row r="268" spans="2:9" ht="24.95" customHeight="1">
      <c r="B268" s="266"/>
      <c r="C268" s="23"/>
      <c r="D268" s="23"/>
      <c r="E268" s="261"/>
      <c r="F268" s="123"/>
      <c r="G268" s="261"/>
      <c r="H268" s="253"/>
      <c r="I268" s="124"/>
    </row>
    <row r="269" spans="2:9" ht="24.95" customHeight="1">
      <c r="B269" s="266"/>
      <c r="C269" s="23"/>
      <c r="D269" s="23"/>
      <c r="E269" s="261"/>
      <c r="F269" s="123"/>
      <c r="G269" s="261"/>
      <c r="H269" s="253"/>
      <c r="I269" s="124"/>
    </row>
    <row r="270" spans="2:9" ht="24.95" customHeight="1">
      <c r="B270" s="266"/>
      <c r="C270" s="23"/>
      <c r="D270" s="23"/>
      <c r="E270" s="261"/>
      <c r="F270" s="123"/>
      <c r="G270" s="261"/>
      <c r="H270" s="253"/>
      <c r="I270" s="124"/>
    </row>
    <row r="271" spans="2:9" ht="24.95" customHeight="1">
      <c r="B271" s="266"/>
      <c r="C271" s="23"/>
      <c r="D271" s="23"/>
      <c r="E271" s="261"/>
      <c r="F271" s="123"/>
      <c r="G271" s="261"/>
      <c r="H271" s="253"/>
      <c r="I271" s="124"/>
    </row>
    <row r="272" spans="2:9" ht="24.95" customHeight="1">
      <c r="B272" s="266"/>
      <c r="C272" s="23"/>
      <c r="D272" s="23"/>
      <c r="E272" s="261"/>
      <c r="F272" s="123"/>
      <c r="G272" s="261"/>
      <c r="H272" s="253"/>
      <c r="I272" s="124"/>
    </row>
    <row r="273" spans="2:9" ht="24.95" customHeight="1">
      <c r="B273" s="266"/>
      <c r="C273" s="23"/>
      <c r="D273" s="23"/>
      <c r="E273" s="261"/>
      <c r="F273" s="123"/>
      <c r="G273" s="261"/>
      <c r="H273" s="253"/>
      <c r="I273" s="124"/>
    </row>
    <row r="274" spans="2:9" ht="24.95" customHeight="1">
      <c r="B274" s="266"/>
      <c r="C274" s="23"/>
      <c r="D274" s="23"/>
      <c r="E274" s="261"/>
      <c r="F274" s="123"/>
      <c r="G274" s="261"/>
      <c r="H274" s="253"/>
      <c r="I274" s="124"/>
    </row>
    <row r="275" spans="2:9" ht="24.95" customHeight="1">
      <c r="B275" s="266"/>
      <c r="C275" s="23"/>
      <c r="D275" s="23"/>
      <c r="E275" s="261"/>
      <c r="F275" s="123"/>
      <c r="G275" s="261"/>
      <c r="H275" s="253"/>
      <c r="I275" s="124"/>
    </row>
    <row r="276" spans="2:9" ht="24.95" customHeight="1">
      <c r="B276" s="266"/>
      <c r="C276" s="23"/>
      <c r="D276" s="23"/>
      <c r="E276" s="261"/>
      <c r="F276" s="123"/>
      <c r="G276" s="261"/>
      <c r="H276" s="253"/>
      <c r="I276" s="124"/>
    </row>
    <row r="277" spans="2:9" ht="24.95" customHeight="1">
      <c r="B277" s="266"/>
      <c r="C277" s="23"/>
      <c r="D277" s="23"/>
      <c r="E277" s="261"/>
      <c r="F277" s="123"/>
      <c r="G277" s="261"/>
      <c r="H277" s="253"/>
      <c r="I277" s="124"/>
    </row>
    <row r="278" spans="2:9" ht="24.95" customHeight="1">
      <c r="B278" s="266"/>
      <c r="C278" s="23"/>
      <c r="D278" s="23"/>
      <c r="E278" s="261"/>
      <c r="F278" s="123"/>
      <c r="G278" s="261"/>
      <c r="H278" s="253"/>
      <c r="I278" s="124"/>
    </row>
    <row r="279" spans="2:9" ht="24.95" customHeight="1">
      <c r="B279" s="266"/>
      <c r="C279" s="23"/>
      <c r="D279" s="23"/>
      <c r="E279" s="261"/>
      <c r="F279" s="123"/>
      <c r="G279" s="261"/>
      <c r="H279" s="253"/>
      <c r="I279" s="124"/>
    </row>
    <row r="280" spans="2:9" ht="24.95" customHeight="1">
      <c r="B280" s="266"/>
      <c r="C280" s="23"/>
      <c r="D280" s="23"/>
      <c r="E280" s="261"/>
      <c r="F280" s="123"/>
      <c r="G280" s="261"/>
      <c r="H280" s="253"/>
      <c r="I280" s="124"/>
    </row>
    <row r="281" spans="2:9" ht="24.95" customHeight="1">
      <c r="B281" s="266"/>
      <c r="C281" s="23"/>
      <c r="D281" s="23"/>
      <c r="E281" s="261"/>
      <c r="F281" s="123"/>
      <c r="G281" s="261"/>
      <c r="H281" s="253"/>
      <c r="I281" s="124"/>
    </row>
    <row r="282" spans="2:9" ht="24.95" customHeight="1">
      <c r="B282" s="266"/>
      <c r="C282" s="23"/>
      <c r="D282" s="23"/>
      <c r="E282" s="261"/>
      <c r="F282" s="123"/>
      <c r="G282" s="261"/>
      <c r="H282" s="253"/>
      <c r="I282" s="124"/>
    </row>
    <row r="283" spans="2:9" ht="24.95" customHeight="1">
      <c r="B283" s="266"/>
      <c r="C283" s="23"/>
      <c r="D283" s="23"/>
      <c r="E283" s="261"/>
      <c r="F283" s="123"/>
      <c r="G283" s="261"/>
      <c r="H283" s="253"/>
      <c r="I283" s="124"/>
    </row>
    <row r="284" spans="2:9" ht="24.95" customHeight="1">
      <c r="B284" s="266"/>
      <c r="C284" s="23"/>
      <c r="D284" s="23"/>
      <c r="E284" s="261"/>
      <c r="F284" s="123"/>
      <c r="G284" s="261"/>
      <c r="H284" s="253"/>
      <c r="I284" s="124"/>
    </row>
    <row r="285" spans="2:9" ht="24.95" customHeight="1">
      <c r="B285" s="266"/>
      <c r="C285" s="23"/>
      <c r="D285" s="23"/>
      <c r="E285" s="261"/>
      <c r="F285" s="123"/>
      <c r="G285" s="261"/>
      <c r="H285" s="253"/>
      <c r="I285" s="124"/>
    </row>
    <row r="286" spans="2:9" ht="24.95" customHeight="1">
      <c r="B286" s="266"/>
      <c r="C286" s="23"/>
      <c r="D286" s="23"/>
      <c r="E286" s="261"/>
      <c r="F286" s="123"/>
      <c r="G286" s="261"/>
      <c r="H286" s="253"/>
      <c r="I286" s="124"/>
    </row>
    <row r="287" spans="2:9" ht="24.95" customHeight="1">
      <c r="B287" s="266"/>
      <c r="C287" s="23"/>
      <c r="D287" s="23"/>
      <c r="E287" s="261"/>
      <c r="F287" s="123"/>
      <c r="G287" s="261"/>
      <c r="H287" s="253"/>
      <c r="I287" s="124"/>
    </row>
    <row r="288" spans="2:9" ht="24.95" customHeight="1">
      <c r="B288" s="266"/>
      <c r="C288" s="23"/>
      <c r="D288" s="23"/>
      <c r="E288" s="261"/>
      <c r="F288" s="123"/>
      <c r="G288" s="261"/>
      <c r="H288" s="253"/>
      <c r="I288" s="124"/>
    </row>
    <row r="289" spans="2:9" ht="24.95" customHeight="1">
      <c r="B289" s="266"/>
      <c r="C289" s="23"/>
      <c r="D289" s="23"/>
      <c r="E289" s="261"/>
      <c r="F289" s="123"/>
      <c r="G289" s="261"/>
      <c r="H289" s="253"/>
      <c r="I289" s="124"/>
    </row>
    <row r="290" spans="2:9" ht="24.95" customHeight="1">
      <c r="B290" s="266"/>
      <c r="C290" s="23"/>
      <c r="D290" s="23"/>
      <c r="E290" s="261"/>
      <c r="F290" s="123"/>
      <c r="G290" s="261"/>
      <c r="H290" s="253"/>
      <c r="I290" s="124"/>
    </row>
    <row r="291" spans="2:9" ht="24.95" customHeight="1">
      <c r="B291" s="266"/>
      <c r="C291" s="23"/>
      <c r="D291" s="23"/>
      <c r="E291" s="261"/>
      <c r="F291" s="123"/>
      <c r="G291" s="261"/>
      <c r="H291" s="253"/>
      <c r="I291" s="124"/>
    </row>
    <row r="292" spans="2:9" ht="24.95" customHeight="1">
      <c r="B292" s="266"/>
      <c r="C292" s="23"/>
      <c r="D292" s="23"/>
      <c r="E292" s="261"/>
      <c r="F292" s="123"/>
      <c r="G292" s="261"/>
      <c r="H292" s="253"/>
      <c r="I292" s="124"/>
    </row>
    <row r="293" spans="2:9" ht="24.95" customHeight="1">
      <c r="B293" s="266"/>
      <c r="C293" s="23"/>
      <c r="D293" s="23"/>
      <c r="E293" s="261"/>
      <c r="F293" s="123"/>
      <c r="G293" s="261"/>
      <c r="H293" s="253"/>
      <c r="I293" s="124"/>
    </row>
    <row r="294" spans="2:9" ht="24.95" customHeight="1">
      <c r="B294" s="266"/>
      <c r="C294" s="23"/>
      <c r="D294" s="23"/>
      <c r="E294" s="261"/>
      <c r="F294" s="123"/>
      <c r="G294" s="261"/>
      <c r="H294" s="253"/>
      <c r="I294" s="124"/>
    </row>
    <row r="295" spans="2:9" ht="24.95" customHeight="1">
      <c r="B295" s="266"/>
      <c r="C295" s="23"/>
      <c r="D295" s="23"/>
      <c r="E295" s="261"/>
      <c r="F295" s="123"/>
      <c r="G295" s="261"/>
      <c r="H295" s="253"/>
      <c r="I295" s="124"/>
    </row>
    <row r="296" spans="2:9" ht="24.95" customHeight="1">
      <c r="B296" s="266"/>
      <c r="C296" s="23"/>
      <c r="D296" s="23"/>
      <c r="E296" s="261"/>
      <c r="F296" s="123"/>
      <c r="G296" s="261"/>
      <c r="H296" s="253"/>
      <c r="I296" s="124"/>
    </row>
    <row r="297" spans="2:9" ht="24.95" customHeight="1">
      <c r="B297" s="266"/>
      <c r="C297" s="23"/>
      <c r="D297" s="23"/>
      <c r="E297" s="261"/>
      <c r="F297" s="123"/>
      <c r="G297" s="261"/>
      <c r="H297" s="253"/>
      <c r="I297" s="124"/>
    </row>
    <row r="298" spans="2:9" ht="24.95" customHeight="1">
      <c r="B298" s="266"/>
      <c r="C298" s="23"/>
      <c r="D298" s="23"/>
      <c r="E298" s="261"/>
      <c r="F298" s="123"/>
      <c r="G298" s="261"/>
      <c r="H298" s="253"/>
      <c r="I298" s="124"/>
    </row>
    <row r="299" spans="2:9" ht="24.95" customHeight="1">
      <c r="B299" s="266"/>
      <c r="C299" s="23"/>
      <c r="D299" s="23"/>
      <c r="E299" s="261"/>
      <c r="F299" s="123"/>
      <c r="G299" s="261"/>
      <c r="H299" s="253"/>
      <c r="I299" s="124"/>
    </row>
    <row r="300" spans="2:9" ht="24.95" customHeight="1">
      <c r="B300" s="266"/>
      <c r="C300" s="23"/>
      <c r="D300" s="23"/>
      <c r="E300" s="261"/>
      <c r="F300" s="123"/>
      <c r="G300" s="261"/>
      <c r="H300" s="253"/>
      <c r="I300" s="124"/>
    </row>
    <row r="301" spans="2:9" ht="24.95" customHeight="1">
      <c r="B301" s="266"/>
      <c r="C301" s="23"/>
      <c r="D301" s="23"/>
      <c r="E301" s="261"/>
      <c r="F301" s="123"/>
      <c r="G301" s="261"/>
      <c r="H301" s="253"/>
      <c r="I301" s="124"/>
    </row>
    <row r="302" spans="2:9" ht="24.95" customHeight="1">
      <c r="B302" s="266"/>
      <c r="C302" s="23"/>
      <c r="D302" s="23"/>
      <c r="E302" s="261"/>
      <c r="F302" s="123"/>
      <c r="G302" s="261"/>
      <c r="H302" s="253"/>
      <c r="I302" s="124"/>
    </row>
    <row r="303" spans="2:9" ht="24.95" customHeight="1">
      <c r="B303" s="266"/>
      <c r="C303" s="23"/>
      <c r="D303" s="23"/>
      <c r="E303" s="261"/>
      <c r="F303" s="123"/>
      <c r="G303" s="261"/>
      <c r="H303" s="253"/>
      <c r="I303" s="124"/>
    </row>
    <row r="304" spans="2:9" ht="24.95" customHeight="1">
      <c r="B304" s="266"/>
      <c r="C304" s="23"/>
      <c r="D304" s="23"/>
      <c r="E304" s="261"/>
      <c r="F304" s="123"/>
      <c r="G304" s="261"/>
      <c r="H304" s="253"/>
      <c r="I304" s="124"/>
    </row>
    <row r="305" spans="2:9" ht="24.95" customHeight="1">
      <c r="B305" s="266"/>
      <c r="C305" s="23"/>
      <c r="D305" s="23"/>
      <c r="E305" s="261"/>
      <c r="F305" s="123"/>
      <c r="G305" s="261"/>
      <c r="H305" s="253"/>
      <c r="I305" s="124"/>
    </row>
  </sheetData>
  <sheetProtection formatCells="0" formatColumns="0" formatRows="0" insertColumns="0" insertRows="0" insertHyperlinks="0" deleteColumns="0" deleteRows="0" sort="0" autoFilter="0" pivotTables="0"/>
  <mergeCells count="4">
    <mergeCell ref="B1:I2"/>
    <mergeCell ref="B4:C4"/>
    <mergeCell ref="B26:C26"/>
    <mergeCell ref="B39:C39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30"/>
  <sheetViews>
    <sheetView showZeros="0" view="pageBreakPreview" zoomScaleSheetLayoutView="100" workbookViewId="0">
      <selection activeCell="F15" sqref="F15"/>
    </sheetView>
  </sheetViews>
  <sheetFormatPr defaultRowHeight="24.95" customHeight="1"/>
  <cols>
    <col min="1" max="1" width="1.77734375" customWidth="1"/>
    <col min="2" max="2" width="20.77734375" style="230" customWidth="1"/>
    <col min="3" max="3" width="10.109375" bestFit="1" customWidth="1"/>
    <col min="4" max="6" width="6.77734375" customWidth="1"/>
    <col min="7" max="7" width="15.77734375" style="177" customWidth="1"/>
    <col min="9" max="9" width="1.77734375" customWidth="1"/>
  </cols>
  <sheetData>
    <row r="1" spans="1:8" ht="30" customHeight="1">
      <c r="B1" s="272" t="s">
        <v>206</v>
      </c>
      <c r="C1" s="272"/>
      <c r="D1" s="272"/>
      <c r="E1" s="272"/>
      <c r="F1" s="272"/>
      <c r="G1" s="272"/>
      <c r="H1" s="272"/>
    </row>
    <row r="2" spans="1:8" s="215" customFormat="1" ht="24.95" customHeight="1">
      <c r="A2" s="214"/>
      <c r="B2" s="231" t="s">
        <v>197</v>
      </c>
      <c r="C2" s="227" t="s">
        <v>194</v>
      </c>
      <c r="D2" s="340" t="s">
        <v>205</v>
      </c>
      <c r="E2" s="341"/>
      <c r="F2" s="342"/>
      <c r="G2" s="270" t="s">
        <v>193</v>
      </c>
      <c r="H2" s="271" t="s">
        <v>19</v>
      </c>
    </row>
    <row r="3" spans="1:8" s="215" customFormat="1" ht="24.95" customHeight="1">
      <c r="B3" s="232" t="s">
        <v>13</v>
      </c>
      <c r="C3" s="224">
        <f>SUMIFS(단가대비표!$N:$N,단가대비표!$B:$B,B3)</f>
        <v>0</v>
      </c>
      <c r="D3" s="260">
        <v>0.125</v>
      </c>
      <c r="E3" s="260">
        <v>1.3333333333333333</v>
      </c>
      <c r="F3" s="260">
        <v>1.25</v>
      </c>
      <c r="G3" s="228">
        <f>SUM(C3*D3*E3*F3)-7</f>
        <v>-7</v>
      </c>
      <c r="H3" s="229"/>
    </row>
    <row r="4" spans="1:8" s="215" customFormat="1" ht="24.95" customHeight="1">
      <c r="B4" s="232"/>
      <c r="C4" s="216"/>
      <c r="D4" s="222"/>
      <c r="E4" s="222"/>
      <c r="F4" s="222"/>
      <c r="G4" s="221"/>
      <c r="H4" s="216"/>
    </row>
    <row r="5" spans="1:8" s="215" customFormat="1" ht="24.95" customHeight="1">
      <c r="B5" s="232"/>
      <c r="C5" s="216"/>
      <c r="D5" s="258"/>
      <c r="E5" s="258"/>
      <c r="F5" s="258"/>
      <c r="G5" s="221"/>
      <c r="H5" s="216"/>
    </row>
    <row r="6" spans="1:8" s="215" customFormat="1" ht="24.95" customHeight="1">
      <c r="B6" s="232"/>
      <c r="C6" s="216"/>
      <c r="D6" s="222"/>
      <c r="E6" s="222"/>
      <c r="F6" s="222"/>
      <c r="G6" s="221"/>
      <c r="H6" s="216"/>
    </row>
    <row r="7" spans="1:8" s="215" customFormat="1" ht="24.95" customHeight="1">
      <c r="B7" s="232"/>
      <c r="C7" s="216"/>
      <c r="D7" s="222"/>
      <c r="E7" s="259"/>
      <c r="F7" s="222"/>
      <c r="G7" s="221"/>
      <c r="H7" s="216"/>
    </row>
    <row r="8" spans="1:8" s="215" customFormat="1" ht="24.95" customHeight="1">
      <c r="B8" s="232"/>
      <c r="C8" s="216"/>
      <c r="D8" s="222"/>
      <c r="E8" s="222"/>
      <c r="F8" s="222"/>
      <c r="G8" s="221"/>
      <c r="H8" s="216"/>
    </row>
    <row r="9" spans="1:8" s="215" customFormat="1" ht="24.95" customHeight="1">
      <c r="B9" s="232"/>
      <c r="C9" s="216"/>
      <c r="D9" s="222"/>
      <c r="E9" s="222"/>
      <c r="F9" s="222"/>
      <c r="G9" s="221"/>
      <c r="H9" s="216"/>
    </row>
    <row r="10" spans="1:8" s="215" customFormat="1" ht="24.95" customHeight="1">
      <c r="B10" s="232"/>
      <c r="C10" s="216"/>
      <c r="D10" s="222"/>
      <c r="E10" s="222"/>
      <c r="F10" s="222"/>
      <c r="G10" s="221"/>
      <c r="H10" s="216"/>
    </row>
    <row r="11" spans="1:8" s="215" customFormat="1" ht="24.95" customHeight="1">
      <c r="B11" s="232"/>
      <c r="C11" s="216"/>
      <c r="D11" s="222"/>
      <c r="E11" s="222"/>
      <c r="F11" s="222"/>
      <c r="G11" s="221"/>
      <c r="H11" s="216"/>
    </row>
    <row r="12" spans="1:8" s="215" customFormat="1" ht="24.95" customHeight="1">
      <c r="B12" s="232"/>
      <c r="C12" s="216"/>
      <c r="D12" s="222"/>
      <c r="E12" s="222"/>
      <c r="F12" s="222"/>
      <c r="G12" s="221"/>
      <c r="H12" s="216"/>
    </row>
    <row r="13" spans="1:8" s="215" customFormat="1" ht="24.95" customHeight="1">
      <c r="B13" s="232"/>
      <c r="C13" s="216"/>
      <c r="D13" s="222"/>
      <c r="E13" s="222"/>
      <c r="F13" s="222"/>
      <c r="G13" s="221"/>
      <c r="H13" s="216"/>
    </row>
    <row r="14" spans="1:8" s="215" customFormat="1" ht="24.95" customHeight="1">
      <c r="B14" s="232"/>
      <c r="C14" s="216"/>
      <c r="D14" s="222"/>
      <c r="E14" s="222"/>
      <c r="F14" s="222"/>
      <c r="G14" s="221"/>
      <c r="H14" s="216"/>
    </row>
    <row r="15" spans="1:8" s="215" customFormat="1" ht="24.95" customHeight="1">
      <c r="B15" s="232"/>
      <c r="C15" s="216"/>
      <c r="D15" s="216"/>
      <c r="E15" s="216"/>
      <c r="F15" s="216"/>
      <c r="G15" s="221"/>
      <c r="H15" s="216"/>
    </row>
    <row r="16" spans="1:8" s="215" customFormat="1" ht="24.95" customHeight="1">
      <c r="B16" s="232"/>
      <c r="C16" s="216"/>
      <c r="D16" s="216"/>
      <c r="E16" s="216"/>
      <c r="F16" s="216"/>
      <c r="G16" s="221"/>
      <c r="H16" s="216"/>
    </row>
    <row r="17" spans="2:8" s="215" customFormat="1" ht="24.95" customHeight="1">
      <c r="B17" s="232"/>
      <c r="C17" s="216"/>
      <c r="D17" s="216"/>
      <c r="E17" s="216"/>
      <c r="F17" s="216"/>
      <c r="G17" s="221"/>
      <c r="H17" s="216"/>
    </row>
    <row r="18" spans="2:8" s="215" customFormat="1" ht="24.95" customHeight="1">
      <c r="B18" s="232"/>
      <c r="C18" s="216"/>
      <c r="D18" s="216"/>
      <c r="E18" s="216"/>
      <c r="F18" s="216"/>
      <c r="G18" s="221"/>
      <c r="H18" s="216"/>
    </row>
    <row r="19" spans="2:8" s="215" customFormat="1" ht="24.95" customHeight="1">
      <c r="B19" s="232"/>
      <c r="C19" s="216"/>
      <c r="D19" s="216"/>
      <c r="E19" s="216"/>
      <c r="F19" s="216"/>
      <c r="G19" s="221"/>
      <c r="H19" s="216"/>
    </row>
    <row r="20" spans="2:8" s="215" customFormat="1" ht="24.95" customHeight="1">
      <c r="B20" s="232"/>
      <c r="C20" s="216"/>
      <c r="D20" s="216"/>
      <c r="E20" s="216"/>
      <c r="F20" s="216"/>
      <c r="G20" s="221"/>
      <c r="H20" s="216"/>
    </row>
    <row r="21" spans="2:8" s="215" customFormat="1" ht="24.95" customHeight="1">
      <c r="B21" s="232"/>
      <c r="C21" s="216"/>
      <c r="D21" s="216"/>
      <c r="E21" s="216"/>
      <c r="F21" s="216"/>
      <c r="G21" s="221"/>
      <c r="H21" s="216"/>
    </row>
    <row r="22" spans="2:8" s="215" customFormat="1" ht="24.95" customHeight="1">
      <c r="B22" s="232"/>
      <c r="C22" s="216"/>
      <c r="D22" s="216"/>
      <c r="E22" s="216"/>
      <c r="F22" s="216"/>
      <c r="G22" s="221"/>
      <c r="H22" s="216"/>
    </row>
    <row r="23" spans="2:8" s="215" customFormat="1" ht="24.95" customHeight="1">
      <c r="B23" s="232"/>
      <c r="C23" s="216"/>
      <c r="D23" s="216"/>
      <c r="E23" s="216"/>
      <c r="F23" s="216"/>
      <c r="G23" s="221"/>
      <c r="H23" s="216"/>
    </row>
    <row r="24" spans="2:8" s="215" customFormat="1" ht="24.95" customHeight="1">
      <c r="B24" s="232"/>
      <c r="C24" s="216"/>
      <c r="D24" s="216"/>
      <c r="E24" s="216"/>
      <c r="F24" s="216"/>
      <c r="G24" s="221"/>
      <c r="H24" s="216"/>
    </row>
    <row r="25" spans="2:8" s="215" customFormat="1" ht="24.95" customHeight="1">
      <c r="B25" s="232"/>
      <c r="C25" s="216"/>
      <c r="D25" s="216"/>
      <c r="E25" s="216"/>
      <c r="F25" s="216"/>
      <c r="G25" s="221"/>
      <c r="H25" s="216"/>
    </row>
    <row r="26" spans="2:8" s="215" customFormat="1" ht="24.95" customHeight="1">
      <c r="B26" s="232"/>
      <c r="C26" s="216"/>
      <c r="D26" s="216"/>
      <c r="E26" s="216"/>
      <c r="F26" s="216"/>
      <c r="G26" s="221"/>
      <c r="H26" s="216"/>
    </row>
    <row r="27" spans="2:8" s="215" customFormat="1" ht="24.95" customHeight="1">
      <c r="B27" s="232"/>
      <c r="C27" s="216"/>
      <c r="D27" s="216"/>
      <c r="E27" s="216"/>
      <c r="F27" s="216"/>
      <c r="G27" s="221"/>
      <c r="H27" s="216"/>
    </row>
    <row r="28" spans="2:8" s="215" customFormat="1" ht="24.95" customHeight="1">
      <c r="B28" s="232"/>
      <c r="C28" s="216"/>
      <c r="D28" s="216"/>
      <c r="E28" s="216"/>
      <c r="F28" s="216"/>
      <c r="G28" s="221"/>
      <c r="H28" s="216"/>
    </row>
    <row r="29" spans="2:8" ht="24.95" customHeight="1">
      <c r="B29" s="232"/>
      <c r="C29" s="216"/>
      <c r="D29" s="216"/>
      <c r="E29" s="216"/>
      <c r="F29" s="216"/>
      <c r="G29" s="221"/>
      <c r="H29" s="216"/>
    </row>
    <row r="30" spans="2:8" ht="24.95" customHeight="1">
      <c r="B30" s="273"/>
      <c r="C30" s="249"/>
      <c r="D30" s="249"/>
      <c r="E30" s="249"/>
      <c r="F30" s="249"/>
      <c r="G30" s="274"/>
      <c r="H30" s="249"/>
    </row>
  </sheetData>
  <mergeCells count="1">
    <mergeCell ref="D2:F2"/>
  </mergeCells>
  <phoneticPr fontId="2" type="noConversion"/>
  <printOptions horizontalCentered="1" verticalCentered="1"/>
  <pageMargins left="0.39370078740157483" right="0.39370078740157483" top="0.78740157480314965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31"/>
  <sheetViews>
    <sheetView showZeros="0" view="pageBreakPreview" zoomScaleSheetLayoutView="100" workbookViewId="0">
      <selection activeCell="B1" sqref="B1"/>
    </sheetView>
  </sheetViews>
  <sheetFormatPr defaultRowHeight="24.95" customHeight="1"/>
  <cols>
    <col min="1" max="1" width="1.77734375" style="268" customWidth="1"/>
    <col min="2" max="2" width="9" style="212" customWidth="1"/>
    <col min="3" max="3" width="12.77734375" customWidth="1"/>
    <col min="4" max="4" width="10.77734375" customWidth="1"/>
    <col min="5" max="5" width="12.77734375" customWidth="1"/>
    <col min="6" max="6" width="10.77734375" customWidth="1"/>
    <col min="7" max="10" width="8.88671875" customWidth="1"/>
    <col min="11" max="11" width="13.77734375" customWidth="1"/>
    <col min="12" max="12" width="1.77734375" customWidth="1"/>
  </cols>
  <sheetData>
    <row r="1" spans="1:12" ht="50.1" customHeight="1">
      <c r="B1" s="235" t="s">
        <v>200</v>
      </c>
      <c r="C1" s="235"/>
      <c r="D1" s="235"/>
      <c r="E1" s="235"/>
      <c r="F1" s="235"/>
      <c r="G1" s="235"/>
      <c r="H1" s="235"/>
      <c r="I1" s="235"/>
      <c r="J1" s="235"/>
      <c r="K1" s="235"/>
    </row>
    <row r="2" spans="1:12" s="215" customFormat="1" ht="24.95" customHeight="1">
      <c r="A2" s="269"/>
      <c r="B2" s="218" t="s">
        <v>195</v>
      </c>
      <c r="C2" s="343" t="s">
        <v>194</v>
      </c>
      <c r="D2" s="344"/>
      <c r="E2" s="344"/>
      <c r="F2" s="345"/>
      <c r="G2" s="219" t="s">
        <v>0</v>
      </c>
      <c r="H2" s="219" t="s">
        <v>99</v>
      </c>
      <c r="I2" s="219" t="s">
        <v>100</v>
      </c>
      <c r="J2" s="219" t="s">
        <v>102</v>
      </c>
      <c r="K2" s="219" t="s">
        <v>101</v>
      </c>
      <c r="L2" s="214"/>
    </row>
    <row r="3" spans="1:12" s="215" customFormat="1" ht="24.95" customHeight="1">
      <c r="A3" s="269"/>
      <c r="B3" s="250" t="s">
        <v>199</v>
      </c>
      <c r="C3" s="346" t="s">
        <v>202</v>
      </c>
      <c r="D3" s="347"/>
      <c r="E3" s="347"/>
      <c r="F3" s="348"/>
      <c r="G3" s="220" t="s">
        <v>201</v>
      </c>
      <c r="H3" s="220"/>
      <c r="I3" s="220" t="s">
        <v>207</v>
      </c>
      <c r="J3" s="220"/>
      <c r="K3" s="323" t="s">
        <v>243</v>
      </c>
    </row>
    <row r="4" spans="1:12" s="215" customFormat="1" ht="24.95" customHeight="1">
      <c r="A4" s="269" t="str">
        <f>B3</f>
        <v>1</v>
      </c>
      <c r="B4" s="213" t="s">
        <v>102</v>
      </c>
      <c r="C4" s="236">
        <v>13818182</v>
      </c>
      <c r="D4" s="237">
        <v>2901</v>
      </c>
      <c r="E4" s="238">
        <f>10^-7</f>
        <v>9.9999999999999995E-8</v>
      </c>
      <c r="F4" s="239"/>
      <c r="G4" s="223">
        <f>TRUNC(C4*D4*E4)</f>
        <v>4008</v>
      </c>
      <c r="H4" s="223">
        <f>SUMIF(B4,$H$2,G4)</f>
        <v>0</v>
      </c>
      <c r="I4" s="223">
        <f>SUMIF(B4,$I$2,G4)</f>
        <v>0</v>
      </c>
      <c r="J4" s="223">
        <f>SUMIF(B4,$J$2,G4)</f>
        <v>4008</v>
      </c>
      <c r="K4" s="217"/>
    </row>
    <row r="5" spans="1:12" s="215" customFormat="1" ht="24.95" customHeight="1">
      <c r="A5" s="269" t="str">
        <f>A4</f>
        <v>1</v>
      </c>
      <c r="B5" s="213" t="s">
        <v>100</v>
      </c>
      <c r="C5" s="240" t="s">
        <v>198</v>
      </c>
      <c r="D5" s="241">
        <v>2.6</v>
      </c>
      <c r="E5" s="237">
        <f>SUMIF(단가대비표!$B:$B,기계경비!C5,단가대비표!$N:$N)</f>
        <v>1239</v>
      </c>
      <c r="F5" s="239"/>
      <c r="G5" s="223">
        <f>TRUNC(D5*E5)</f>
        <v>3221</v>
      </c>
      <c r="H5" s="223">
        <f t="shared" ref="H5:H21" si="0">SUMIF(B5,$H$2,G5)</f>
        <v>0</v>
      </c>
      <c r="I5" s="223">
        <f t="shared" ref="I5:I21" si="1">SUMIF(B5,$I$2,G5)</f>
        <v>3221</v>
      </c>
      <c r="J5" s="223">
        <f t="shared" ref="J5:J21" si="2">SUMIF(B5,$J$2,G5)</f>
        <v>0</v>
      </c>
      <c r="K5" s="217"/>
    </row>
    <row r="6" spans="1:12" s="215" customFormat="1" ht="24.95" customHeight="1">
      <c r="A6" s="269" t="str">
        <f t="shared" ref="A6:A23" si="3">A5</f>
        <v>1</v>
      </c>
      <c r="B6" s="213" t="s">
        <v>100</v>
      </c>
      <c r="C6" s="242" t="s">
        <v>196</v>
      </c>
      <c r="D6" s="243">
        <v>0.38</v>
      </c>
      <c r="E6" s="237">
        <f>G5</f>
        <v>3221</v>
      </c>
      <c r="F6" s="239"/>
      <c r="G6" s="223">
        <f>TRUNC(D6*E6)</f>
        <v>1223</v>
      </c>
      <c r="H6" s="223">
        <f t="shared" si="0"/>
        <v>0</v>
      </c>
      <c r="I6" s="223">
        <f t="shared" si="1"/>
        <v>1223</v>
      </c>
      <c r="J6" s="223">
        <f t="shared" si="2"/>
        <v>0</v>
      </c>
      <c r="K6" s="217"/>
    </row>
    <row r="7" spans="1:12" s="215" customFormat="1" ht="24.95" customHeight="1">
      <c r="A7" s="269" t="str">
        <f t="shared" si="3"/>
        <v>1</v>
      </c>
      <c r="B7" s="213"/>
      <c r="C7" s="242"/>
      <c r="D7" s="244"/>
      <c r="E7" s="244"/>
      <c r="F7" s="239"/>
      <c r="G7" s="223"/>
      <c r="H7" s="223"/>
      <c r="I7" s="223">
        <f t="shared" si="1"/>
        <v>0</v>
      </c>
      <c r="J7" s="223">
        <f t="shared" si="2"/>
        <v>0</v>
      </c>
      <c r="K7" s="217"/>
    </row>
    <row r="8" spans="1:12" s="215" customFormat="1" ht="24.95" customHeight="1">
      <c r="A8" s="269" t="str">
        <f t="shared" si="3"/>
        <v>1</v>
      </c>
      <c r="B8" s="218" t="s">
        <v>97</v>
      </c>
      <c r="C8" s="245"/>
      <c r="D8" s="246"/>
      <c r="E8" s="246"/>
      <c r="F8" s="247"/>
      <c r="G8" s="233">
        <f>IF(SUM(G4:G7)=SUM(H8:J8),SUM(G4:G7),"등신")</f>
        <v>8452</v>
      </c>
      <c r="H8" s="233">
        <f t="shared" ref="H8:J8" si="4">SUM(H4:H7)</f>
        <v>0</v>
      </c>
      <c r="I8" s="233">
        <f t="shared" si="4"/>
        <v>4444</v>
      </c>
      <c r="J8" s="233">
        <f t="shared" si="4"/>
        <v>4008</v>
      </c>
      <c r="K8" s="234"/>
    </row>
    <row r="9" spans="1:12" s="215" customFormat="1" ht="24.95" customHeight="1">
      <c r="A9" s="269">
        <f>B9</f>
        <v>0</v>
      </c>
      <c r="B9" s="213"/>
      <c r="C9" s="216"/>
      <c r="D9" s="216"/>
      <c r="E9" s="216"/>
      <c r="F9" s="216"/>
      <c r="G9" s="220"/>
      <c r="H9" s="220"/>
      <c r="I9" s="220"/>
      <c r="J9" s="220"/>
      <c r="K9" s="219"/>
    </row>
    <row r="10" spans="1:12" s="215" customFormat="1" ht="24.95" customHeight="1">
      <c r="A10" s="269">
        <f t="shared" si="3"/>
        <v>0</v>
      </c>
      <c r="B10" s="213"/>
      <c r="C10" s="216"/>
      <c r="D10" s="216"/>
      <c r="E10" s="216"/>
      <c r="F10" s="216"/>
      <c r="G10" s="223"/>
      <c r="H10" s="223"/>
      <c r="I10" s="223"/>
      <c r="J10" s="223"/>
      <c r="K10" s="217"/>
    </row>
    <row r="11" spans="1:12" s="215" customFormat="1" ht="24.95" customHeight="1">
      <c r="A11" s="269">
        <f t="shared" si="3"/>
        <v>0</v>
      </c>
      <c r="B11" s="213"/>
      <c r="C11" s="216"/>
      <c r="D11" s="216"/>
      <c r="E11" s="216"/>
      <c r="F11" s="216"/>
      <c r="G11" s="223"/>
      <c r="H11" s="223"/>
      <c r="I11" s="223"/>
      <c r="J11" s="223"/>
      <c r="K11" s="217"/>
    </row>
    <row r="12" spans="1:12" s="215" customFormat="1" ht="24.95" customHeight="1">
      <c r="A12" s="269">
        <f t="shared" si="3"/>
        <v>0</v>
      </c>
      <c r="B12" s="213"/>
      <c r="C12" s="216"/>
      <c r="D12" s="216"/>
      <c r="E12" s="216"/>
      <c r="F12" s="216"/>
      <c r="G12" s="223"/>
      <c r="H12" s="223"/>
      <c r="I12" s="223"/>
      <c r="J12" s="223"/>
      <c r="K12" s="217"/>
    </row>
    <row r="13" spans="1:12" s="215" customFormat="1" ht="24.95" customHeight="1">
      <c r="A13" s="269">
        <f t="shared" si="3"/>
        <v>0</v>
      </c>
      <c r="B13" s="213"/>
      <c r="C13" s="216"/>
      <c r="D13" s="216"/>
      <c r="E13" s="216"/>
      <c r="F13" s="216"/>
      <c r="G13" s="223"/>
      <c r="H13" s="223"/>
      <c r="I13" s="223"/>
      <c r="J13" s="223"/>
      <c r="K13" s="217"/>
    </row>
    <row r="14" spans="1:12" s="215" customFormat="1" ht="24.95" customHeight="1">
      <c r="A14" s="269">
        <f t="shared" si="3"/>
        <v>0</v>
      </c>
      <c r="B14" s="218"/>
      <c r="C14" s="216"/>
      <c r="D14" s="216"/>
      <c r="E14" s="216"/>
      <c r="F14" s="216"/>
      <c r="G14" s="233"/>
      <c r="H14" s="233"/>
      <c r="I14" s="233"/>
      <c r="J14" s="233"/>
      <c r="K14" s="234"/>
    </row>
    <row r="15" spans="1:12" s="215" customFormat="1" ht="24.95" customHeight="1">
      <c r="A15" s="269">
        <f t="shared" si="3"/>
        <v>0</v>
      </c>
      <c r="B15" s="213"/>
      <c r="C15" s="216"/>
      <c r="D15" s="216"/>
      <c r="E15" s="216"/>
      <c r="F15" s="216"/>
      <c r="G15" s="216"/>
      <c r="H15" s="223">
        <f t="shared" si="0"/>
        <v>0</v>
      </c>
      <c r="I15" s="223">
        <f t="shared" si="1"/>
        <v>0</v>
      </c>
      <c r="J15" s="223">
        <f t="shared" si="2"/>
        <v>0</v>
      </c>
      <c r="K15" s="216"/>
    </row>
    <row r="16" spans="1:12" s="215" customFormat="1" ht="24.95" customHeight="1">
      <c r="A16" s="269">
        <f t="shared" si="3"/>
        <v>0</v>
      </c>
      <c r="B16" s="213"/>
      <c r="C16" s="216"/>
      <c r="D16" s="216"/>
      <c r="E16" s="216"/>
      <c r="F16" s="216"/>
      <c r="G16" s="216"/>
      <c r="H16" s="223">
        <f t="shared" si="0"/>
        <v>0</v>
      </c>
      <c r="I16" s="223">
        <f t="shared" si="1"/>
        <v>0</v>
      </c>
      <c r="J16" s="223">
        <f t="shared" si="2"/>
        <v>0</v>
      </c>
      <c r="K16" s="216"/>
    </row>
    <row r="17" spans="1:11" s="215" customFormat="1" ht="24.95" customHeight="1">
      <c r="A17" s="269">
        <f t="shared" si="3"/>
        <v>0</v>
      </c>
      <c r="B17" s="213"/>
      <c r="C17" s="216"/>
      <c r="D17" s="216"/>
      <c r="E17" s="216"/>
      <c r="F17" s="216"/>
      <c r="G17" s="216"/>
      <c r="H17" s="223">
        <f t="shared" si="0"/>
        <v>0</v>
      </c>
      <c r="I17" s="223">
        <f t="shared" si="1"/>
        <v>0</v>
      </c>
      <c r="J17" s="223">
        <f t="shared" si="2"/>
        <v>0</v>
      </c>
      <c r="K17" s="216"/>
    </row>
    <row r="18" spans="1:11" s="215" customFormat="1" ht="24.95" customHeight="1">
      <c r="A18" s="269">
        <f t="shared" si="3"/>
        <v>0</v>
      </c>
      <c r="B18" s="213"/>
      <c r="C18" s="216"/>
      <c r="D18" s="216"/>
      <c r="E18" s="216"/>
      <c r="F18" s="216"/>
      <c r="G18" s="216"/>
      <c r="H18" s="223">
        <f t="shared" si="0"/>
        <v>0</v>
      </c>
      <c r="I18" s="223">
        <f t="shared" si="1"/>
        <v>0</v>
      </c>
      <c r="J18" s="223">
        <f t="shared" si="2"/>
        <v>0</v>
      </c>
      <c r="K18" s="216"/>
    </row>
    <row r="19" spans="1:11" s="215" customFormat="1" ht="24.95" customHeight="1">
      <c r="A19" s="269">
        <f t="shared" si="3"/>
        <v>0</v>
      </c>
      <c r="B19" s="213"/>
      <c r="C19" s="216"/>
      <c r="D19" s="216"/>
      <c r="E19" s="216"/>
      <c r="F19" s="216"/>
      <c r="G19" s="216"/>
      <c r="H19" s="223">
        <f t="shared" si="0"/>
        <v>0</v>
      </c>
      <c r="I19" s="223">
        <f t="shared" si="1"/>
        <v>0</v>
      </c>
      <c r="J19" s="223">
        <f t="shared" si="2"/>
        <v>0</v>
      </c>
      <c r="K19" s="216"/>
    </row>
    <row r="20" spans="1:11" s="215" customFormat="1" ht="24.95" customHeight="1">
      <c r="A20" s="269">
        <f t="shared" si="3"/>
        <v>0</v>
      </c>
      <c r="B20" s="213"/>
      <c r="C20" s="216"/>
      <c r="D20" s="216"/>
      <c r="E20" s="216"/>
      <c r="F20" s="216"/>
      <c r="G20" s="216"/>
      <c r="H20" s="223">
        <f t="shared" si="0"/>
        <v>0</v>
      </c>
      <c r="I20" s="223">
        <f t="shared" si="1"/>
        <v>0</v>
      </c>
      <c r="J20" s="223">
        <f t="shared" si="2"/>
        <v>0</v>
      </c>
      <c r="K20" s="216"/>
    </row>
    <row r="21" spans="1:11" s="215" customFormat="1" ht="24.95" customHeight="1">
      <c r="A21" s="269">
        <f t="shared" si="3"/>
        <v>0</v>
      </c>
      <c r="B21" s="213"/>
      <c r="C21" s="216"/>
      <c r="D21" s="216"/>
      <c r="E21" s="216"/>
      <c r="F21" s="216"/>
      <c r="G21" s="216"/>
      <c r="H21" s="223">
        <f t="shared" si="0"/>
        <v>0</v>
      </c>
      <c r="I21" s="223">
        <f t="shared" si="1"/>
        <v>0</v>
      </c>
      <c r="J21" s="223">
        <f t="shared" si="2"/>
        <v>0</v>
      </c>
      <c r="K21" s="216"/>
    </row>
    <row r="22" spans="1:11" s="215" customFormat="1" ht="24.95" customHeight="1">
      <c r="A22" s="269">
        <f t="shared" si="3"/>
        <v>0</v>
      </c>
      <c r="B22" s="213"/>
      <c r="C22" s="216"/>
      <c r="D22" s="216"/>
      <c r="E22" s="216"/>
      <c r="F22" s="216"/>
      <c r="G22" s="216"/>
      <c r="H22" s="216"/>
      <c r="I22" s="216"/>
      <c r="J22" s="216"/>
      <c r="K22" s="216"/>
    </row>
    <row r="23" spans="1:11" s="215" customFormat="1" ht="24.95" customHeight="1">
      <c r="A23" s="269">
        <f t="shared" si="3"/>
        <v>0</v>
      </c>
      <c r="B23" s="213"/>
      <c r="C23" s="216"/>
      <c r="D23" s="216"/>
      <c r="E23" s="216"/>
      <c r="F23" s="216"/>
      <c r="G23" s="216"/>
      <c r="H23" s="216"/>
      <c r="I23" s="216"/>
      <c r="J23" s="216"/>
      <c r="K23" s="216"/>
    </row>
    <row r="24" spans="1:11" s="215" customFormat="1" ht="24.95" customHeight="1">
      <c r="A24" s="269"/>
      <c r="B24" s="213"/>
      <c r="C24" s="216"/>
      <c r="D24" s="216"/>
      <c r="E24" s="216"/>
      <c r="F24" s="216"/>
      <c r="G24" s="216"/>
      <c r="H24" s="216"/>
      <c r="I24" s="216"/>
      <c r="J24" s="216"/>
      <c r="K24" s="216"/>
    </row>
    <row r="25" spans="1:11" s="215" customFormat="1" ht="24.95" customHeight="1">
      <c r="A25" s="269"/>
      <c r="B25" s="213"/>
      <c r="C25" s="216"/>
      <c r="D25" s="216"/>
      <c r="E25" s="216"/>
      <c r="F25" s="216"/>
      <c r="G25" s="216"/>
      <c r="H25" s="216"/>
      <c r="I25" s="216"/>
      <c r="J25" s="216"/>
      <c r="K25" s="216"/>
    </row>
    <row r="26" spans="1:11" s="215" customFormat="1" ht="24.95" customHeight="1">
      <c r="A26" s="269"/>
      <c r="B26" s="213"/>
      <c r="C26" s="216"/>
      <c r="D26" s="216"/>
      <c r="E26" s="216"/>
      <c r="F26" s="216"/>
      <c r="G26" s="216"/>
      <c r="H26" s="216"/>
      <c r="I26" s="216"/>
      <c r="J26" s="216"/>
      <c r="K26" s="216"/>
    </row>
    <row r="27" spans="1:11" s="215" customFormat="1" ht="24.95" customHeight="1">
      <c r="A27" s="269"/>
      <c r="B27" s="213"/>
      <c r="C27" s="216"/>
      <c r="D27" s="216"/>
      <c r="E27" s="216"/>
      <c r="F27" s="216"/>
      <c r="G27" s="216"/>
      <c r="H27" s="216"/>
      <c r="I27" s="216"/>
      <c r="J27" s="216"/>
      <c r="K27" s="216"/>
    </row>
    <row r="28" spans="1:11" s="215" customFormat="1" ht="24.95" customHeight="1">
      <c r="A28" s="269"/>
      <c r="B28" s="213"/>
      <c r="C28" s="216"/>
      <c r="D28" s="216"/>
      <c r="E28" s="216"/>
      <c r="F28" s="216"/>
      <c r="G28" s="216"/>
      <c r="H28" s="216"/>
      <c r="I28" s="216"/>
      <c r="J28" s="216"/>
      <c r="K28" s="216"/>
    </row>
    <row r="29" spans="1:11" ht="24.9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11" ht="24.9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9"/>
    </row>
    <row r="31" spans="1:11" ht="24.95" customHeight="1">
      <c r="B31" s="248"/>
      <c r="C31" s="249"/>
      <c r="D31" s="249"/>
      <c r="E31" s="249"/>
      <c r="F31" s="249"/>
      <c r="G31" s="249"/>
      <c r="H31" s="249"/>
      <c r="I31" s="249"/>
      <c r="J31" s="249"/>
      <c r="K31" s="249"/>
    </row>
  </sheetData>
  <mergeCells count="2">
    <mergeCell ref="C2:F2"/>
    <mergeCell ref="C3:F3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U56"/>
  <sheetViews>
    <sheetView showZeros="0" tabSelected="1" view="pageBreakPreview" zoomScaleSheetLayoutView="100" workbookViewId="0">
      <selection activeCell="F9" sqref="F9"/>
    </sheetView>
  </sheetViews>
  <sheetFormatPr defaultRowHeight="24.95" customHeight="1"/>
  <cols>
    <col min="1" max="1" width="1.77734375" style="276" customWidth="1"/>
    <col min="2" max="2" width="16.21875" style="9" customWidth="1"/>
    <col min="3" max="3" width="13.5546875" style="8" customWidth="1"/>
    <col min="4" max="4" width="8.88671875" style="20" customWidth="1"/>
    <col min="5" max="5" width="4.77734375" style="9" customWidth="1"/>
    <col min="6" max="13" width="7.5546875" style="8" customWidth="1"/>
    <col min="14" max="14" width="6.77734375" style="19" customWidth="1"/>
    <col min="15" max="15" width="1.77734375" style="7" customWidth="1"/>
    <col min="16" max="16" width="1.77734375" style="7" hidden="1" customWidth="1"/>
    <col min="17" max="17" width="12.77734375" style="9" hidden="1" customWidth="1"/>
    <col min="18" max="18" width="7.77734375" style="8" hidden="1" customWidth="1"/>
    <col min="19" max="19" width="4.77734375" style="20" hidden="1" customWidth="1"/>
    <col min="20" max="20" width="4.77734375" style="9" hidden="1" customWidth="1"/>
    <col min="21" max="21" width="8.77734375" style="8" hidden="1" customWidth="1"/>
    <col min="22" max="22" width="10.21875" style="8" hidden="1" customWidth="1"/>
    <col min="23" max="23" width="8.77734375" style="8" hidden="1" customWidth="1"/>
    <col min="24" max="24" width="10.21875" style="8" hidden="1" customWidth="1"/>
    <col min="25" max="25" width="8.77734375" style="8" hidden="1" customWidth="1"/>
    <col min="26" max="26" width="10.21875" style="8" hidden="1" customWidth="1"/>
    <col min="27" max="27" width="8.77734375" style="8" hidden="1" customWidth="1"/>
    <col min="28" max="28" width="10.21875" style="8" hidden="1" customWidth="1"/>
    <col min="29" max="29" width="6.77734375" style="19" hidden="1" customWidth="1"/>
    <col min="30" max="30" width="1.77734375" style="7" hidden="1" customWidth="1"/>
    <col min="31" max="31" width="1.77734375" style="100" customWidth="1"/>
    <col min="32" max="32" width="12.77734375" style="99" customWidth="1"/>
    <col min="33" max="33" width="7.77734375" style="8" customWidth="1"/>
    <col min="34" max="34" width="4.77734375" style="20" customWidth="1"/>
    <col min="35" max="35" width="4.77734375" style="9" customWidth="1"/>
    <col min="36" max="36" width="8.77734375" style="8" customWidth="1"/>
    <col min="37" max="37" width="10.21875" style="8" customWidth="1"/>
    <col min="38" max="38" width="8.77734375" style="8" customWidth="1"/>
    <col min="39" max="39" width="10.21875" style="8" customWidth="1"/>
    <col min="40" max="40" width="8.77734375" style="8" customWidth="1"/>
    <col min="41" max="41" width="10.21875" style="8" customWidth="1"/>
    <col min="42" max="42" width="8.77734375" style="8" customWidth="1"/>
    <col min="43" max="43" width="10.21875" style="8" customWidth="1"/>
    <col min="44" max="44" width="6.77734375" style="19" customWidth="1"/>
    <col min="45" max="45" width="1.77734375" style="7" customWidth="1"/>
    <col min="46" max="46" width="9.5546875" style="7" bestFit="1" customWidth="1"/>
    <col min="47" max="47" width="11.44140625" style="7" bestFit="1" customWidth="1"/>
    <col min="48" max="16384" width="8.88671875" style="7"/>
  </cols>
  <sheetData>
    <row r="1" spans="1:47" ht="39.950000000000003" customHeight="1">
      <c r="B1" s="354" t="s">
        <v>279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T1" s="141">
        <f>TRUNC(AU1/AU2,5)</f>
        <v>0.89946999999999999</v>
      </c>
      <c r="AU1" s="211">
        <v>6550000</v>
      </c>
    </row>
    <row r="2" spans="1:47" s="16" customFormat="1" ht="24.95" customHeight="1">
      <c r="A2" s="277">
        <v>100</v>
      </c>
      <c r="B2" s="351" t="s">
        <v>27</v>
      </c>
      <c r="C2" s="351" t="s">
        <v>26</v>
      </c>
      <c r="D2" s="353" t="s">
        <v>25</v>
      </c>
      <c r="E2" s="356" t="s">
        <v>24</v>
      </c>
      <c r="F2" s="352" t="s">
        <v>23</v>
      </c>
      <c r="G2" s="352"/>
      <c r="H2" s="352" t="s">
        <v>22</v>
      </c>
      <c r="I2" s="353"/>
      <c r="J2" s="352" t="s">
        <v>21</v>
      </c>
      <c r="K2" s="353"/>
      <c r="L2" s="355" t="s">
        <v>20</v>
      </c>
      <c r="M2" s="355"/>
      <c r="N2" s="349" t="s">
        <v>19</v>
      </c>
      <c r="Q2" s="351" t="s">
        <v>27</v>
      </c>
      <c r="R2" s="351" t="s">
        <v>26</v>
      </c>
      <c r="S2" s="353" t="s">
        <v>25</v>
      </c>
      <c r="T2" s="356" t="s">
        <v>24</v>
      </c>
      <c r="U2" s="352" t="s">
        <v>23</v>
      </c>
      <c r="V2" s="352"/>
      <c r="W2" s="352" t="s">
        <v>22</v>
      </c>
      <c r="X2" s="353"/>
      <c r="Y2" s="352" t="s">
        <v>21</v>
      </c>
      <c r="Z2" s="353"/>
      <c r="AA2" s="355" t="s">
        <v>20</v>
      </c>
      <c r="AB2" s="355"/>
      <c r="AC2" s="349" t="s">
        <v>19</v>
      </c>
      <c r="AE2" s="101"/>
      <c r="AF2" s="99"/>
      <c r="AG2" s="8"/>
      <c r="AH2" s="20"/>
      <c r="AI2" s="9"/>
      <c r="AJ2" s="8"/>
      <c r="AK2" s="8"/>
      <c r="AL2" s="8"/>
      <c r="AM2" s="8"/>
      <c r="AN2" s="8"/>
      <c r="AO2" s="8"/>
      <c r="AP2" s="8"/>
      <c r="AQ2" s="8"/>
      <c r="AR2" s="19"/>
      <c r="AU2" s="211">
        <v>7282000</v>
      </c>
    </row>
    <row r="3" spans="1:47" s="16" customFormat="1" ht="24.95" customHeight="1">
      <c r="A3" s="277">
        <v>100</v>
      </c>
      <c r="B3" s="351"/>
      <c r="C3" s="351"/>
      <c r="D3" s="353"/>
      <c r="E3" s="356"/>
      <c r="F3" s="18" t="s">
        <v>18</v>
      </c>
      <c r="G3" s="17" t="s">
        <v>17</v>
      </c>
      <c r="H3" s="18" t="s">
        <v>18</v>
      </c>
      <c r="I3" s="17" t="s">
        <v>17</v>
      </c>
      <c r="J3" s="18" t="s">
        <v>18</v>
      </c>
      <c r="K3" s="17" t="s">
        <v>17</v>
      </c>
      <c r="L3" s="18" t="s">
        <v>18</v>
      </c>
      <c r="M3" s="17" t="s">
        <v>17</v>
      </c>
      <c r="N3" s="350"/>
      <c r="Q3" s="351"/>
      <c r="R3" s="351"/>
      <c r="S3" s="353"/>
      <c r="T3" s="356"/>
      <c r="U3" s="18" t="s">
        <v>18</v>
      </c>
      <c r="V3" s="17" t="s">
        <v>17</v>
      </c>
      <c r="W3" s="18" t="s">
        <v>18</v>
      </c>
      <c r="X3" s="17" t="s">
        <v>17</v>
      </c>
      <c r="Y3" s="18" t="s">
        <v>18</v>
      </c>
      <c r="Z3" s="17" t="s">
        <v>17</v>
      </c>
      <c r="AA3" s="18" t="s">
        <v>18</v>
      </c>
      <c r="AB3" s="17" t="s">
        <v>17</v>
      </c>
      <c r="AC3" s="350"/>
      <c r="AE3" s="101"/>
      <c r="AF3" s="99"/>
      <c r="AG3" s="8"/>
      <c r="AH3" s="20"/>
      <c r="AI3" s="9"/>
      <c r="AJ3" s="8"/>
      <c r="AK3" s="8"/>
      <c r="AL3" s="8"/>
      <c r="AM3" s="8"/>
      <c r="AN3" s="8"/>
      <c r="AO3" s="8"/>
      <c r="AP3" s="8"/>
      <c r="AQ3" s="8"/>
      <c r="AR3" s="19"/>
    </row>
    <row r="4" spans="1:47" ht="24.95" customHeight="1">
      <c r="A4" s="278">
        <f>N4</f>
        <v>0</v>
      </c>
      <c r="B4" s="311" t="s">
        <v>219</v>
      </c>
      <c r="C4" s="283"/>
      <c r="D4" s="289"/>
      <c r="E4" s="23"/>
      <c r="F4" s="26"/>
      <c r="G4" s="26"/>
      <c r="H4" s="26"/>
      <c r="I4" s="26"/>
      <c r="J4" s="26"/>
      <c r="K4" s="26"/>
      <c r="L4" s="26"/>
      <c r="M4" s="25"/>
      <c r="N4" s="24"/>
      <c r="Q4" s="23" t="e">
        <v>#REF!</v>
      </c>
      <c r="R4" s="23" t="e">
        <v>#REF!</v>
      </c>
      <c r="S4" s="28" t="e">
        <v>#REF!</v>
      </c>
      <c r="T4" s="23" t="e">
        <v>#REF!</v>
      </c>
      <c r="U4" s="13" t="e">
        <v>#VALUE!</v>
      </c>
      <c r="V4" s="13" t="e">
        <f>TRUNC(S4*U4)</f>
        <v>#REF!</v>
      </c>
      <c r="W4" s="13"/>
      <c r="X4" s="13" t="e">
        <f>TRUNC(S4*W4)</f>
        <v>#REF!</v>
      </c>
      <c r="Y4" s="13"/>
      <c r="Z4" s="13" t="e">
        <f>TRUNC(S4*Y4)</f>
        <v>#REF!</v>
      </c>
      <c r="AA4" s="12"/>
      <c r="AB4" s="12"/>
      <c r="AC4" s="24" t="s">
        <v>29</v>
      </c>
      <c r="AE4" s="101"/>
    </row>
    <row r="5" spans="1:47" ht="24.95" customHeight="1">
      <c r="A5" s="278">
        <f t="shared" ref="A5:A7" si="0">N5</f>
        <v>0</v>
      </c>
      <c r="B5" s="257" t="s">
        <v>221</v>
      </c>
      <c r="C5" s="1" t="s">
        <v>226</v>
      </c>
      <c r="D5" s="314">
        <v>328</v>
      </c>
      <c r="E5" s="312" t="s">
        <v>220</v>
      </c>
      <c r="F5" s="313">
        <v>0</v>
      </c>
      <c r="G5" s="26">
        <f t="shared" ref="G5" si="1">SUM(I5+K5+M5)</f>
        <v>0</v>
      </c>
      <c r="H5" s="26">
        <v>0</v>
      </c>
      <c r="I5" s="26">
        <f t="shared" ref="I5" si="2">TRUNC(D5*H5)</f>
        <v>0</v>
      </c>
      <c r="J5" s="26">
        <v>0</v>
      </c>
      <c r="K5" s="26">
        <f t="shared" ref="K5" si="3">TRUNC(D5*J5)</f>
        <v>0</v>
      </c>
      <c r="L5" s="26">
        <v>0</v>
      </c>
      <c r="M5" s="25">
        <f t="shared" ref="M5" si="4">TRUNC(D5*L5)</f>
        <v>0</v>
      </c>
      <c r="N5" s="256"/>
      <c r="Q5" s="23" t="e">
        <v>#REF!</v>
      </c>
      <c r="R5" s="23" t="e">
        <v>#REF!</v>
      </c>
      <c r="S5" s="28" t="e">
        <v>#REF!</v>
      </c>
      <c r="T5" s="23" t="e">
        <v>#REF!</v>
      </c>
      <c r="U5" s="13" t="e">
        <v>#VALUE!</v>
      </c>
      <c r="V5" s="13" t="e">
        <f>TRUNC(S5*U5)</f>
        <v>#REF!</v>
      </c>
      <c r="W5" s="13"/>
      <c r="X5" s="13" t="e">
        <f>TRUNC(S5*W5)</f>
        <v>#REF!</v>
      </c>
      <c r="Y5" s="13"/>
      <c r="Z5" s="13" t="e">
        <f>TRUNC(S5*Y5)</f>
        <v>#REF!</v>
      </c>
      <c r="AA5" s="12"/>
      <c r="AB5" s="12" t="e">
        <f>TRUNC(S5*AA5)</f>
        <v>#REF!</v>
      </c>
      <c r="AC5" s="24" t="s">
        <v>28</v>
      </c>
      <c r="AE5" s="101"/>
    </row>
    <row r="6" spans="1:47" ht="24.95" customHeight="1">
      <c r="A6" s="278">
        <f t="shared" si="0"/>
        <v>0</v>
      </c>
      <c r="B6" s="257" t="s">
        <v>222</v>
      </c>
      <c r="C6" s="315" t="s">
        <v>228</v>
      </c>
      <c r="D6" s="314">
        <v>82</v>
      </c>
      <c r="E6" s="312" t="s">
        <v>223</v>
      </c>
      <c r="F6" s="26">
        <f t="shared" ref="F6:F8" si="5">SUM(H6,J6,L6)</f>
        <v>0</v>
      </c>
      <c r="G6" s="26">
        <f t="shared" ref="G6" si="6">SUM(I6+K6+M6)</f>
        <v>0</v>
      </c>
      <c r="H6" s="26"/>
      <c r="I6" s="26">
        <f t="shared" ref="I6" si="7">TRUNC(D6*H6)</f>
        <v>0</v>
      </c>
      <c r="J6" s="26">
        <v>0</v>
      </c>
      <c r="K6" s="26">
        <f t="shared" ref="K6" si="8">TRUNC(D6*J6)</f>
        <v>0</v>
      </c>
      <c r="L6" s="26"/>
      <c r="M6" s="25">
        <f t="shared" ref="M6" si="9">TRUNC(D6*L6)</f>
        <v>0</v>
      </c>
      <c r="N6" s="256"/>
      <c r="Q6" s="23" t="e">
        <v>#REF!</v>
      </c>
      <c r="R6" s="23" t="e">
        <v>#REF!</v>
      </c>
      <c r="S6" s="28" t="e">
        <v>#REF!</v>
      </c>
      <c r="T6" s="23" t="e">
        <v>#REF!</v>
      </c>
      <c r="U6" s="13"/>
      <c r="V6" s="13"/>
      <c r="W6" s="13"/>
      <c r="X6" s="13"/>
      <c r="Y6" s="13"/>
      <c r="Z6" s="13"/>
      <c r="AA6" s="12"/>
      <c r="AB6" s="12"/>
      <c r="AC6" s="24" t="s">
        <v>28</v>
      </c>
      <c r="AE6" s="101"/>
    </row>
    <row r="7" spans="1:47" ht="24.95" customHeight="1">
      <c r="A7" s="278">
        <f t="shared" si="0"/>
        <v>0</v>
      </c>
      <c r="B7" s="257" t="s">
        <v>224</v>
      </c>
      <c r="C7" s="209" t="s">
        <v>227</v>
      </c>
      <c r="D7" s="314">
        <v>83</v>
      </c>
      <c r="E7" s="312" t="s">
        <v>209</v>
      </c>
      <c r="F7" s="26">
        <f t="shared" si="5"/>
        <v>0</v>
      </c>
      <c r="G7" s="26">
        <f t="shared" ref="G7:G8" si="10">SUM(I7+K7+M7)</f>
        <v>0</v>
      </c>
      <c r="H7" s="26"/>
      <c r="I7" s="26"/>
      <c r="J7" s="26">
        <v>0</v>
      </c>
      <c r="K7" s="26">
        <f t="shared" ref="K7:K8" si="11">TRUNC(D7*J7)</f>
        <v>0</v>
      </c>
      <c r="L7" s="26"/>
      <c r="M7" s="25">
        <f t="shared" ref="M7:M8" si="12">TRUNC(D7*L7)</f>
        <v>0</v>
      </c>
      <c r="N7" s="256"/>
      <c r="Q7" s="23" t="e">
        <v>#REF!</v>
      </c>
      <c r="R7" s="1" t="e">
        <v>#REF!</v>
      </c>
      <c r="S7" s="28" t="e">
        <v>#REF!</v>
      </c>
      <c r="T7" s="23" t="e">
        <v>#REF!</v>
      </c>
      <c r="U7" s="13" t="e">
        <v>#VALUE!</v>
      </c>
      <c r="V7" s="13" t="e">
        <f>TRUNC(S7*U7)</f>
        <v>#REF!</v>
      </c>
      <c r="W7" s="13"/>
      <c r="X7" s="13" t="e">
        <f>TRUNC(S7*W7)</f>
        <v>#REF!</v>
      </c>
      <c r="Y7" s="13"/>
      <c r="Z7" s="13" t="e">
        <f>TRUNC(S7*Y7)</f>
        <v>#REF!</v>
      </c>
      <c r="AA7" s="12"/>
      <c r="AB7" s="12" t="e">
        <f>TRUNC(S7*AA7)</f>
        <v>#REF!</v>
      </c>
      <c r="AC7" s="24" t="s">
        <v>28</v>
      </c>
      <c r="AE7" s="101"/>
    </row>
    <row r="8" spans="1:47" ht="24.95" customHeight="1">
      <c r="A8" s="278">
        <f>N9</f>
        <v>0</v>
      </c>
      <c r="B8" s="257" t="s">
        <v>234</v>
      </c>
      <c r="C8" s="322" t="s">
        <v>240</v>
      </c>
      <c r="D8" s="314">
        <v>664</v>
      </c>
      <c r="E8" s="23" t="s">
        <v>209</v>
      </c>
      <c r="F8" s="26">
        <f t="shared" si="5"/>
        <v>0</v>
      </c>
      <c r="G8" s="26">
        <f t="shared" si="10"/>
        <v>0</v>
      </c>
      <c r="H8" s="26"/>
      <c r="I8" s="26"/>
      <c r="J8" s="26">
        <v>0</v>
      </c>
      <c r="K8" s="26">
        <f t="shared" si="11"/>
        <v>0</v>
      </c>
      <c r="L8" s="26">
        <f>SUMIFS(단가대비표!$N:$N,단가대비표!$B:$B,B8,단가대비표!$C:$C,C6)</f>
        <v>0</v>
      </c>
      <c r="M8" s="25">
        <f t="shared" si="12"/>
        <v>0</v>
      </c>
      <c r="N8" s="256"/>
      <c r="Q8" s="23" t="e">
        <v>#REF!</v>
      </c>
      <c r="R8" s="23" t="e">
        <v>#REF!</v>
      </c>
      <c r="S8" s="28" t="e">
        <v>#REF!</v>
      </c>
      <c r="T8" s="23" t="e">
        <v>#REF!</v>
      </c>
      <c r="U8" s="13" t="e">
        <v>#VALUE!</v>
      </c>
      <c r="V8" s="13" t="e">
        <f>TRUNC(S8*U8)</f>
        <v>#REF!</v>
      </c>
      <c r="W8" s="13"/>
      <c r="X8" s="13"/>
      <c r="Y8" s="13"/>
      <c r="Z8" s="13"/>
      <c r="AA8" s="12"/>
      <c r="AB8" s="12"/>
      <c r="AC8" s="24" t="s">
        <v>28</v>
      </c>
      <c r="AE8" s="101"/>
    </row>
    <row r="9" spans="1:47" ht="24.95" customHeight="1">
      <c r="A9" s="278">
        <f>N10</f>
        <v>0</v>
      </c>
      <c r="B9" s="257" t="s">
        <v>254</v>
      </c>
      <c r="C9" s="316" t="s">
        <v>255</v>
      </c>
      <c r="D9" s="27">
        <v>332</v>
      </c>
      <c r="E9" s="23" t="s">
        <v>225</v>
      </c>
      <c r="F9" s="26">
        <f t="shared" ref="F9" si="13">SUM(H9,J9,L9)</f>
        <v>0</v>
      </c>
      <c r="G9" s="26">
        <f t="shared" ref="G9:G10" si="14">SUM(I9+K9+M9)</f>
        <v>0</v>
      </c>
      <c r="H9" s="26"/>
      <c r="I9" s="26"/>
      <c r="J9" s="26">
        <v>0</v>
      </c>
      <c r="K9" s="26">
        <f t="shared" ref="K9:K10" si="15">TRUNC(D9*J9)</f>
        <v>0</v>
      </c>
      <c r="L9" s="26">
        <f>SUMIFS(단가대비표!$N:$N,단가대비표!$B:$B,B9,단가대비표!$C:$C,C7)</f>
        <v>0</v>
      </c>
      <c r="M9" s="25">
        <f t="shared" ref="M9" si="16">TRUNC(D9*L9)</f>
        <v>0</v>
      </c>
      <c r="N9" s="256"/>
      <c r="Q9" s="23" t="e">
        <v>#REF!</v>
      </c>
      <c r="R9" s="23" t="e">
        <v>#REF!</v>
      </c>
      <c r="S9" s="28" t="e">
        <v>#REF!</v>
      </c>
      <c r="T9" s="23" t="e">
        <v>#REF!</v>
      </c>
      <c r="U9" s="13" t="e">
        <v>#VALUE!</v>
      </c>
      <c r="V9" s="13" t="e">
        <f>TRUNC(S9*U9)</f>
        <v>#REF!</v>
      </c>
      <c r="W9" s="13"/>
      <c r="X9" s="13"/>
      <c r="Y9" s="13"/>
      <c r="Z9" s="13"/>
      <c r="AA9" s="12"/>
      <c r="AB9" s="12"/>
      <c r="AC9" s="24" t="s">
        <v>28</v>
      </c>
      <c r="AE9" s="101"/>
    </row>
    <row r="10" spans="1:47" ht="24.95" customHeight="1">
      <c r="A10" s="278"/>
      <c r="B10" s="257" t="s">
        <v>265</v>
      </c>
      <c r="C10" s="1" t="s">
        <v>268</v>
      </c>
      <c r="D10" s="27">
        <v>332</v>
      </c>
      <c r="E10" s="23" t="s">
        <v>209</v>
      </c>
      <c r="F10" s="26">
        <v>0</v>
      </c>
      <c r="G10" s="26">
        <f t="shared" si="14"/>
        <v>0</v>
      </c>
      <c r="H10" s="26"/>
      <c r="I10" s="26"/>
      <c r="J10" s="26">
        <v>0</v>
      </c>
      <c r="K10" s="26">
        <f t="shared" si="15"/>
        <v>0</v>
      </c>
      <c r="L10" s="26"/>
      <c r="M10" s="25"/>
      <c r="N10" s="256"/>
      <c r="Q10" s="155"/>
      <c r="R10" s="155"/>
      <c r="S10" s="156"/>
      <c r="T10" s="155"/>
      <c r="U10" s="157"/>
      <c r="V10" s="157"/>
      <c r="W10" s="157"/>
      <c r="X10" s="157"/>
      <c r="Y10" s="157"/>
      <c r="Z10" s="157"/>
      <c r="AA10" s="158"/>
      <c r="AB10" s="158"/>
      <c r="AC10" s="262"/>
      <c r="AE10" s="101"/>
    </row>
    <row r="11" spans="1:47" ht="24.95" customHeight="1">
      <c r="A11" s="278">
        <f>N12</f>
        <v>0</v>
      </c>
      <c r="B11" s="257" t="s">
        <v>245</v>
      </c>
      <c r="C11" s="1" t="s">
        <v>246</v>
      </c>
      <c r="D11" s="325">
        <v>9.6</v>
      </c>
      <c r="E11" s="23" t="s">
        <v>247</v>
      </c>
      <c r="F11" s="26">
        <f>SUM(H11,J11,L11)</f>
        <v>0</v>
      </c>
      <c r="G11" s="26">
        <f>SUM(I11+K11+M11)</f>
        <v>0</v>
      </c>
      <c r="H11" s="26">
        <v>0</v>
      </c>
      <c r="I11" s="26">
        <f>TRUNC(D11*H11)</f>
        <v>0</v>
      </c>
      <c r="J11" s="26">
        <v>0</v>
      </c>
      <c r="K11" s="26">
        <f>TRUNC(D11*J11)</f>
        <v>0</v>
      </c>
      <c r="L11" s="26">
        <v>0</v>
      </c>
      <c r="M11" s="25">
        <f>TRUNC(D11*L11)</f>
        <v>0</v>
      </c>
      <c r="N11" s="256"/>
      <c r="AE11" s="101"/>
    </row>
    <row r="12" spans="1:47" ht="24.95" customHeight="1">
      <c r="A12" s="278"/>
      <c r="B12" s="257" t="s">
        <v>287</v>
      </c>
      <c r="C12" s="209" t="s">
        <v>210</v>
      </c>
      <c r="D12" s="27">
        <v>55</v>
      </c>
      <c r="E12" s="312" t="s">
        <v>220</v>
      </c>
      <c r="F12" s="26">
        <f>SUM(H12,J12,L12)</f>
        <v>0</v>
      </c>
      <c r="G12" s="26">
        <f>SUM(I12+K12+M12)</f>
        <v>0</v>
      </c>
      <c r="H12" s="26">
        <v>0</v>
      </c>
      <c r="I12" s="26">
        <f>TRUNC(D12*H12)</f>
        <v>0</v>
      </c>
      <c r="J12" s="26">
        <v>0</v>
      </c>
      <c r="K12" s="26">
        <f>TRUNC(D12*J12)</f>
        <v>0</v>
      </c>
      <c r="L12" s="26">
        <v>0</v>
      </c>
      <c r="M12" s="25">
        <f>TRUNC(D12*L12)</f>
        <v>0</v>
      </c>
      <c r="N12" s="256"/>
      <c r="AE12" s="101"/>
    </row>
    <row r="13" spans="1:47" ht="24.95" customHeight="1">
      <c r="A13" s="278"/>
      <c r="B13" s="257" t="s">
        <v>248</v>
      </c>
      <c r="C13" s="209" t="s">
        <v>210</v>
      </c>
      <c r="D13" s="27">
        <v>570</v>
      </c>
      <c r="E13" s="23" t="s">
        <v>249</v>
      </c>
      <c r="F13" s="26">
        <f>SUM(H13,J13,L13)</f>
        <v>0</v>
      </c>
      <c r="G13" s="26">
        <f>SUM(I13+K13+M13)</f>
        <v>0</v>
      </c>
      <c r="H13" s="26">
        <v>0</v>
      </c>
      <c r="I13" s="26">
        <f>TRUNC(D13*H13)</f>
        <v>0</v>
      </c>
      <c r="J13" s="26">
        <v>0</v>
      </c>
      <c r="K13" s="26">
        <f>TRUNC(D13*J13)</f>
        <v>0</v>
      </c>
      <c r="L13" s="26">
        <v>0</v>
      </c>
      <c r="M13" s="25">
        <f>TRUNC(D13*L13)</f>
        <v>0</v>
      </c>
      <c r="N13" s="256"/>
      <c r="AE13" s="101"/>
    </row>
    <row r="14" spans="1:47" ht="24.95" hidden="1" customHeight="1">
      <c r="A14" s="278"/>
      <c r="B14" s="257" t="s">
        <v>270</v>
      </c>
      <c r="C14" s="1" t="s">
        <v>271</v>
      </c>
      <c r="D14" s="27">
        <v>0</v>
      </c>
      <c r="E14" s="23" t="s">
        <v>209</v>
      </c>
      <c r="F14" s="26">
        <f t="shared" ref="F14:F15" si="17">SUM(H14,J14,L14)</f>
        <v>0</v>
      </c>
      <c r="G14" s="26">
        <f>SUM(K14+M14)</f>
        <v>0</v>
      </c>
      <c r="H14" s="26">
        <v>0</v>
      </c>
      <c r="I14" s="26">
        <f>TRUNC(D14*H14)</f>
        <v>0</v>
      </c>
      <c r="J14" s="26">
        <v>0</v>
      </c>
      <c r="K14" s="26">
        <f t="shared" ref="K14:K15" si="18">TRUNC(D14*J14)</f>
        <v>0</v>
      </c>
      <c r="L14" s="26">
        <v>0</v>
      </c>
      <c r="M14" s="25">
        <f t="shared" ref="M14:M15" si="19">TRUNC(D14*L14)</f>
        <v>0</v>
      </c>
      <c r="N14" s="256"/>
      <c r="AE14" s="101"/>
    </row>
    <row r="15" spans="1:47" ht="24.95" customHeight="1">
      <c r="A15" s="278"/>
      <c r="B15" s="257" t="s">
        <v>292</v>
      </c>
      <c r="C15" s="1" t="s">
        <v>293</v>
      </c>
      <c r="D15" s="325">
        <v>16.600000000000001</v>
      </c>
      <c r="E15" s="23" t="s">
        <v>247</v>
      </c>
      <c r="F15" s="26">
        <f t="shared" si="17"/>
        <v>0</v>
      </c>
      <c r="G15" s="26">
        <f>SUM(K15+M15)</f>
        <v>0</v>
      </c>
      <c r="H15" s="26" t="s">
        <v>210</v>
      </c>
      <c r="I15" s="26" t="s">
        <v>210</v>
      </c>
      <c r="J15" s="26">
        <v>0</v>
      </c>
      <c r="K15" s="26">
        <f t="shared" si="18"/>
        <v>0</v>
      </c>
      <c r="L15" s="26">
        <v>0</v>
      </c>
      <c r="M15" s="25">
        <f t="shared" si="19"/>
        <v>0</v>
      </c>
      <c r="N15" s="256"/>
      <c r="AE15" s="101"/>
    </row>
    <row r="16" spans="1:47" ht="24.95" customHeight="1">
      <c r="A16" s="278"/>
      <c r="B16" s="257" t="s">
        <v>212</v>
      </c>
      <c r="C16" s="1" t="s">
        <v>210</v>
      </c>
      <c r="D16" s="27">
        <v>64</v>
      </c>
      <c r="E16" s="23" t="s">
        <v>203</v>
      </c>
      <c r="F16" s="26">
        <f t="shared" ref="F16" si="20">SUM(H16,J16,L16)</f>
        <v>0</v>
      </c>
      <c r="G16" s="26">
        <f>SUM(K16+M16)</f>
        <v>0</v>
      </c>
      <c r="H16" s="26" t="s">
        <v>210</v>
      </c>
      <c r="I16" s="26" t="s">
        <v>210</v>
      </c>
      <c r="J16" s="26">
        <v>0</v>
      </c>
      <c r="K16" s="26">
        <f t="shared" ref="K16" si="21">TRUNC(D16*J16)</f>
        <v>0</v>
      </c>
      <c r="L16" s="26">
        <v>0</v>
      </c>
      <c r="M16" s="25">
        <f t="shared" ref="M16" si="22">TRUNC(D16*L16)</f>
        <v>0</v>
      </c>
      <c r="N16" s="256"/>
      <c r="AE16" s="101"/>
    </row>
    <row r="17" spans="1:31" ht="24.95" customHeight="1">
      <c r="A17" s="278"/>
      <c r="B17" s="257" t="s">
        <v>242</v>
      </c>
      <c r="C17" s="1" t="s">
        <v>215</v>
      </c>
      <c r="D17" s="27">
        <v>4</v>
      </c>
      <c r="E17" s="23" t="s">
        <v>262</v>
      </c>
      <c r="F17" s="26">
        <f>SUM(H17,J17,L17)</f>
        <v>0</v>
      </c>
      <c r="G17" s="26">
        <f>SUM(I17+K17+M17)</f>
        <v>0</v>
      </c>
      <c r="H17" s="26">
        <v>0</v>
      </c>
      <c r="I17" s="26">
        <f>TRUNC(D17*H17)</f>
        <v>0</v>
      </c>
      <c r="J17" s="26"/>
      <c r="K17" s="26">
        <f>TRUNC(D17*J17)</f>
        <v>0</v>
      </c>
      <c r="L17" s="26"/>
      <c r="M17" s="25">
        <f>TRUNC(D17*L17)</f>
        <v>0</v>
      </c>
      <c r="N17" s="256"/>
      <c r="AE17" s="101"/>
    </row>
    <row r="18" spans="1:31" ht="24.95" customHeight="1">
      <c r="A18" s="278"/>
      <c r="B18" s="257" t="s">
        <v>216</v>
      </c>
      <c r="C18" s="1"/>
      <c r="D18" s="27">
        <v>3</v>
      </c>
      <c r="E18" s="23" t="s">
        <v>209</v>
      </c>
      <c r="F18" s="26">
        <f t="shared" ref="F18" si="23">SUM(H18,J18,L18)</f>
        <v>0</v>
      </c>
      <c r="G18" s="26">
        <f t="shared" ref="G18" si="24">SUM(I18+K18+M18)</f>
        <v>0</v>
      </c>
      <c r="H18" s="26">
        <v>0</v>
      </c>
      <c r="I18" s="26">
        <f t="shared" ref="I18" si="25">TRUNC(D18*H18)</f>
        <v>0</v>
      </c>
      <c r="J18" s="26">
        <v>0</v>
      </c>
      <c r="K18" s="26">
        <f t="shared" ref="K18" si="26">TRUNC(D18*J18)</f>
        <v>0</v>
      </c>
      <c r="L18" s="26"/>
      <c r="M18" s="26">
        <f>TRUNC(D18*L18)</f>
        <v>0</v>
      </c>
      <c r="N18" s="256" t="s">
        <v>210</v>
      </c>
      <c r="AE18" s="101"/>
    </row>
    <row r="19" spans="1:31" ht="24.95" customHeight="1">
      <c r="A19" s="278"/>
      <c r="B19" s="286" t="s">
        <v>97</v>
      </c>
      <c r="C19" s="283"/>
      <c r="D19" s="287"/>
      <c r="E19" s="282"/>
      <c r="F19" s="288"/>
      <c r="G19" s="288">
        <f>SUM(G5:G18)</f>
        <v>0</v>
      </c>
      <c r="H19" s="288"/>
      <c r="I19" s="288">
        <f>SUM(I5:I17)</f>
        <v>0</v>
      </c>
      <c r="J19" s="288"/>
      <c r="K19" s="288">
        <f>SUM(K5:K18)</f>
        <v>0</v>
      </c>
      <c r="L19" s="288"/>
      <c r="M19" s="288">
        <f>SUM(M13:M16)</f>
        <v>0</v>
      </c>
      <c r="N19" s="102"/>
      <c r="AE19" s="101"/>
    </row>
    <row r="20" spans="1:31" ht="24.95" customHeight="1">
      <c r="A20" s="278"/>
      <c r="B20" s="257"/>
      <c r="C20" s="1"/>
      <c r="D20" s="27"/>
      <c r="E20" s="23"/>
      <c r="F20" s="26"/>
      <c r="G20" s="26"/>
      <c r="H20" s="26"/>
      <c r="I20" s="26"/>
      <c r="J20" s="26"/>
      <c r="K20" s="26"/>
      <c r="L20" s="26"/>
      <c r="M20" s="25"/>
      <c r="N20" s="256"/>
      <c r="AE20" s="101"/>
    </row>
    <row r="21" spans="1:31" ht="24.95" customHeight="1">
      <c r="A21" s="278"/>
      <c r="AE21" s="101"/>
    </row>
    <row r="22" spans="1:31" ht="24.95" customHeight="1">
      <c r="A22" s="278"/>
      <c r="AE22" s="101"/>
    </row>
    <row r="23" spans="1:31" ht="24.95" customHeight="1">
      <c r="A23" s="278"/>
      <c r="AE23" s="101"/>
    </row>
    <row r="24" spans="1:31" ht="24.95" customHeight="1">
      <c r="A24" s="278"/>
      <c r="AE24" s="101"/>
    </row>
    <row r="25" spans="1:31" ht="24.95" customHeight="1">
      <c r="A25" s="278"/>
      <c r="AE25" s="101"/>
    </row>
    <row r="26" spans="1:31" ht="24.95" customHeight="1">
      <c r="A26" s="278"/>
      <c r="AE26" s="101"/>
    </row>
    <row r="27" spans="1:31" ht="24.95" customHeight="1">
      <c r="A27" s="278"/>
      <c r="AE27" s="101"/>
    </row>
    <row r="28" spans="1:31" ht="24.95" customHeight="1">
      <c r="A28" s="278"/>
      <c r="AE28" s="101"/>
    </row>
    <row r="29" spans="1:31" ht="24.95" customHeight="1">
      <c r="A29" s="278"/>
      <c r="AE29" s="101"/>
    </row>
    <row r="30" spans="1:31" ht="24.95" customHeight="1">
      <c r="A30" s="278"/>
      <c r="AE30" s="101"/>
    </row>
    <row r="31" spans="1:31" ht="24.95" customHeight="1">
      <c r="A31" s="278"/>
      <c r="AE31" s="101"/>
    </row>
    <row r="32" spans="1:31" ht="24.95" customHeight="1">
      <c r="A32" s="278"/>
      <c r="AE32" s="101"/>
    </row>
    <row r="33" spans="1:31" ht="24.95" customHeight="1">
      <c r="A33" s="278"/>
      <c r="AE33" s="101"/>
    </row>
    <row r="34" spans="1:31" ht="24.95" customHeight="1">
      <c r="A34" s="278"/>
      <c r="AE34" s="101"/>
    </row>
    <row r="35" spans="1:31" ht="24.95" customHeight="1">
      <c r="A35" s="278"/>
      <c r="AE35" s="101"/>
    </row>
    <row r="36" spans="1:31" ht="24.95" customHeight="1">
      <c r="A36" s="278"/>
      <c r="AE36" s="101"/>
    </row>
    <row r="37" spans="1:31" ht="24.95" customHeight="1">
      <c r="A37" s="278"/>
      <c r="AE37" s="101"/>
    </row>
    <row r="38" spans="1:31" ht="24.95" customHeight="1">
      <c r="A38" s="278"/>
      <c r="AE38" s="101"/>
    </row>
    <row r="39" spans="1:31" ht="24.95" customHeight="1">
      <c r="A39" s="278"/>
      <c r="AE39" s="101"/>
    </row>
    <row r="40" spans="1:31" ht="24.95" customHeight="1">
      <c r="A40" s="278" t="e">
        <f>#REF!</f>
        <v>#REF!</v>
      </c>
      <c r="AE40" s="101"/>
    </row>
    <row r="41" spans="1:31" ht="24.95" customHeight="1">
      <c r="A41" s="278"/>
      <c r="AE41" s="101"/>
    </row>
    <row r="42" spans="1:31" ht="24.95" customHeight="1">
      <c r="AE42" s="101"/>
    </row>
    <row r="43" spans="1:31" ht="24.95" customHeight="1">
      <c r="AE43" s="101"/>
    </row>
    <row r="44" spans="1:31" ht="24.95" customHeight="1">
      <c r="AE44" s="101"/>
    </row>
    <row r="45" spans="1:31" ht="24.95" customHeight="1">
      <c r="AE45" s="101"/>
    </row>
    <row r="46" spans="1:31" ht="24.95" customHeight="1">
      <c r="AE46" s="101"/>
    </row>
    <row r="47" spans="1:31" ht="24.95" customHeight="1">
      <c r="AE47" s="101">
        <f t="shared" ref="AE47:AE56" si="27">A46</f>
        <v>0</v>
      </c>
    </row>
    <row r="48" spans="1:31" ht="24.95" customHeight="1">
      <c r="AE48" s="101">
        <f t="shared" si="27"/>
        <v>0</v>
      </c>
    </row>
    <row r="49" spans="31:31" ht="24.95" customHeight="1">
      <c r="AE49" s="101">
        <f t="shared" si="27"/>
        <v>0</v>
      </c>
    </row>
    <row r="50" spans="31:31" ht="24.95" customHeight="1">
      <c r="AE50" s="101">
        <f t="shared" si="27"/>
        <v>0</v>
      </c>
    </row>
    <row r="51" spans="31:31" ht="24.95" customHeight="1">
      <c r="AE51" s="101">
        <f t="shared" si="27"/>
        <v>0</v>
      </c>
    </row>
    <row r="52" spans="31:31" ht="24.95" customHeight="1">
      <c r="AE52" s="101">
        <f t="shared" si="27"/>
        <v>0</v>
      </c>
    </row>
    <row r="53" spans="31:31" ht="24.95" customHeight="1">
      <c r="AE53" s="101">
        <f t="shared" si="27"/>
        <v>0</v>
      </c>
    </row>
    <row r="54" spans="31:31" ht="24.95" customHeight="1">
      <c r="AE54" s="101">
        <f t="shared" si="27"/>
        <v>0</v>
      </c>
    </row>
    <row r="55" spans="31:31" ht="24.95" customHeight="1">
      <c r="AE55" s="101">
        <f t="shared" si="27"/>
        <v>0</v>
      </c>
    </row>
    <row r="56" spans="31:31" ht="24.95" customHeight="1">
      <c r="AE56" s="101">
        <f t="shared" si="27"/>
        <v>0</v>
      </c>
    </row>
  </sheetData>
  <sheetProtection formatCells="0" formatColumns="0" formatRows="0" insertColumns="0" insertRows="0" insertHyperlinks="0" deleteColumns="0" deleteRows="0" sort="0" autoFilter="0" pivotTables="0"/>
  <autoFilter ref="A1:N5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0">
    <mergeCell ref="U2:V2"/>
    <mergeCell ref="J2:K2"/>
    <mergeCell ref="F2:G2"/>
    <mergeCell ref="B2:B3"/>
    <mergeCell ref="Q1:AC1"/>
    <mergeCell ref="Q2:Q3"/>
    <mergeCell ref="R2:R3"/>
    <mergeCell ref="W2:X2"/>
    <mergeCell ref="AC2:AC3"/>
    <mergeCell ref="AA2:AB2"/>
    <mergeCell ref="S2:S3"/>
    <mergeCell ref="T2:T3"/>
    <mergeCell ref="Y2:Z2"/>
    <mergeCell ref="N2:N3"/>
    <mergeCell ref="C2:C3"/>
    <mergeCell ref="H2:I2"/>
    <mergeCell ref="D2:D3"/>
    <mergeCell ref="B1:N1"/>
    <mergeCell ref="L2:M2"/>
    <mergeCell ref="E2:E3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3" verticalDpi="4294967293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showZeros="0" view="pageBreakPreview" topLeftCell="A13" zoomScaleSheetLayoutView="100" workbookViewId="0">
      <selection activeCell="H16" sqref="H16"/>
    </sheetView>
  </sheetViews>
  <sheetFormatPr defaultRowHeight="24.95" customHeight="1"/>
  <cols>
    <col min="1" max="1" width="1.77734375" style="30" customWidth="1"/>
    <col min="2" max="4" width="2.77734375" style="30" customWidth="1"/>
    <col min="5" max="5" width="18.77734375" style="30" customWidth="1"/>
    <col min="6" max="6" width="25.77734375" style="30" customWidth="1"/>
    <col min="7" max="7" width="9.109375" style="30" customWidth="1"/>
    <col min="8" max="8" width="16.77734375" style="30" customWidth="1"/>
    <col min="9" max="9" width="1.77734375" style="30" customWidth="1"/>
    <col min="10" max="10" width="12" customWidth="1"/>
    <col min="11" max="17" width="8.88671875" customWidth="1"/>
    <col min="18" max="18" width="1.77734375" style="30" customWidth="1"/>
    <col min="19" max="19" width="24.77734375" style="30" customWidth="1"/>
    <col min="20" max="20" width="25.77734375" style="30" customWidth="1"/>
    <col min="21" max="21" width="9.109375" style="30" customWidth="1"/>
    <col min="22" max="22" width="18.77734375" style="30" customWidth="1"/>
    <col min="23" max="23" width="1.77734375" style="30" customWidth="1"/>
    <col min="24" max="24" width="12" customWidth="1"/>
  </cols>
  <sheetData>
    <row r="1" spans="2:22" customFormat="1" ht="24.95" customHeight="1">
      <c r="B1" s="360" t="s">
        <v>73</v>
      </c>
      <c r="C1" s="361"/>
      <c r="D1" s="361"/>
      <c r="E1" s="361"/>
      <c r="F1" s="361"/>
      <c r="G1" s="361"/>
      <c r="H1" s="362"/>
      <c r="I1" s="30"/>
      <c r="R1" s="30"/>
      <c r="S1" s="360" t="s">
        <v>191</v>
      </c>
      <c r="T1" s="361"/>
      <c r="U1" s="361"/>
      <c r="V1" s="362"/>
    </row>
    <row r="2" spans="2:22" customFormat="1" ht="26.1" customHeight="1">
      <c r="B2" s="369" t="str">
        <f>내역서!B1</f>
        <v xml:space="preserve">신천좌안도로 가창우체국 앞 외 1개소 차광망 설치공사 </v>
      </c>
      <c r="C2" s="370"/>
      <c r="D2" s="370"/>
      <c r="E2" s="370"/>
      <c r="F2" s="370"/>
      <c r="G2" s="370"/>
      <c r="H2" s="371"/>
      <c r="I2" s="30"/>
      <c r="R2" s="30"/>
      <c r="S2" s="363" t="str">
        <f>내역서!$B$1</f>
        <v xml:space="preserve">신천좌안도로 가창우체국 앞 외 1개소 차광망 설치공사 </v>
      </c>
      <c r="T2" s="364"/>
      <c r="U2" s="364"/>
      <c r="V2" s="365"/>
    </row>
    <row r="3" spans="2:22" customFormat="1" ht="26.1" customHeight="1" thickBot="1">
      <c r="B3" s="372" t="str">
        <f>"공사금액 : 금"&amp;NUMBERSTRING(H28,1)&amp;"원정"&amp;TEXT(H28,("(금0,00원정)"))</f>
        <v>공사금액 : 금영원정(금000원정)</v>
      </c>
      <c r="C3" s="373"/>
      <c r="D3" s="373"/>
      <c r="E3" s="373"/>
      <c r="F3" s="373"/>
      <c r="G3" s="373"/>
      <c r="H3" s="374"/>
      <c r="I3" s="30"/>
      <c r="R3" s="30"/>
      <c r="S3" s="366" t="e">
        <f>"공사금액 : 금"&amp;NUMBERSTRING(V28,1)&amp;"원정"&amp;TEXT(V28,("(금0,00원정)"))</f>
        <v>#NUM!</v>
      </c>
      <c r="T3" s="367"/>
      <c r="U3" s="367"/>
      <c r="V3" s="368"/>
    </row>
    <row r="4" spans="2:22" customFormat="1" ht="26.1" customHeight="1">
      <c r="B4" s="375" t="s">
        <v>72</v>
      </c>
      <c r="C4" s="376"/>
      <c r="D4" s="376"/>
      <c r="E4" s="376"/>
      <c r="F4" s="187" t="s">
        <v>71</v>
      </c>
      <c r="G4" s="188"/>
      <c r="H4" s="189" t="s">
        <v>70</v>
      </c>
      <c r="I4" s="30"/>
      <c r="R4" s="30"/>
      <c r="S4" s="62" t="s">
        <v>72</v>
      </c>
      <c r="T4" s="61" t="s">
        <v>71</v>
      </c>
      <c r="U4" s="60"/>
      <c r="V4" s="59" t="s">
        <v>70</v>
      </c>
    </row>
    <row r="5" spans="2:22" customFormat="1" ht="26.1" customHeight="1">
      <c r="B5" s="190" t="s">
        <v>140</v>
      </c>
      <c r="C5" s="377" t="s">
        <v>148</v>
      </c>
      <c r="D5" s="377"/>
      <c r="E5" s="378"/>
      <c r="F5" s="51" t="s">
        <v>68</v>
      </c>
      <c r="G5" s="48"/>
      <c r="H5" s="42">
        <f>H6+H9+H12</f>
        <v>0</v>
      </c>
      <c r="I5" s="30"/>
      <c r="R5" s="30"/>
      <c r="S5" s="45" t="s">
        <v>69</v>
      </c>
      <c r="T5" s="51" t="s">
        <v>68</v>
      </c>
      <c r="U5" s="48"/>
      <c r="V5" s="42">
        <f>V6+V9+V12</f>
        <v>0</v>
      </c>
    </row>
    <row r="6" spans="2:22" customFormat="1" ht="26.1" customHeight="1">
      <c r="B6" s="190"/>
      <c r="C6" s="183" t="s">
        <v>128</v>
      </c>
      <c r="D6" s="358" t="s">
        <v>167</v>
      </c>
      <c r="E6" s="359"/>
      <c r="F6" s="51" t="s">
        <v>66</v>
      </c>
      <c r="G6" s="48"/>
      <c r="H6" s="42">
        <f>H7+H8</f>
        <v>0</v>
      </c>
      <c r="I6" s="30"/>
      <c r="R6" s="30"/>
      <c r="S6" s="57" t="s">
        <v>67</v>
      </c>
      <c r="T6" s="51" t="s">
        <v>66</v>
      </c>
      <c r="U6" s="48"/>
      <c r="V6" s="42">
        <f>V7+V8</f>
        <v>0</v>
      </c>
    </row>
    <row r="7" spans="2:22" customFormat="1" ht="26.1" customHeight="1">
      <c r="B7" s="190"/>
      <c r="C7" s="183"/>
      <c r="D7" s="183" t="s">
        <v>129</v>
      </c>
      <c r="E7" s="185" t="s">
        <v>149</v>
      </c>
      <c r="F7" s="55"/>
      <c r="G7" s="48"/>
      <c r="H7" s="52">
        <v>0</v>
      </c>
      <c r="I7" s="30"/>
      <c r="R7" s="30"/>
      <c r="S7" s="53" t="s">
        <v>65</v>
      </c>
      <c r="T7" s="55"/>
      <c r="U7" s="48"/>
      <c r="V7" s="52">
        <f>SUMIF(내역서!AF:AF,"합계",내역서!AO:AO)</f>
        <v>0</v>
      </c>
    </row>
    <row r="8" spans="2:22" customFormat="1" ht="26.1" customHeight="1">
      <c r="B8" s="190"/>
      <c r="C8" s="183"/>
      <c r="D8" s="183" t="s">
        <v>131</v>
      </c>
      <c r="E8" s="186" t="s">
        <v>150</v>
      </c>
      <c r="F8" s="55"/>
      <c r="G8" s="48"/>
      <c r="H8" s="290">
        <v>0</v>
      </c>
      <c r="I8" s="30"/>
      <c r="R8" s="30"/>
      <c r="S8" s="58" t="s">
        <v>64</v>
      </c>
      <c r="T8" s="55"/>
      <c r="U8" s="48"/>
      <c r="V8" s="52">
        <v>0</v>
      </c>
    </row>
    <row r="9" spans="2:22" customFormat="1" ht="26.1" customHeight="1">
      <c r="B9" s="190"/>
      <c r="C9" s="183" t="s">
        <v>132</v>
      </c>
      <c r="D9" s="183"/>
      <c r="E9" s="184" t="s">
        <v>99</v>
      </c>
      <c r="F9" s="55"/>
      <c r="G9" s="48"/>
      <c r="H9" s="42">
        <f>H10+H11</f>
        <v>0</v>
      </c>
      <c r="I9" s="30"/>
      <c r="R9" s="30"/>
      <c r="S9" s="57" t="s">
        <v>63</v>
      </c>
      <c r="T9" s="55"/>
      <c r="U9" s="48"/>
      <c r="V9" s="42">
        <f>V10+V11</f>
        <v>0</v>
      </c>
    </row>
    <row r="10" spans="2:22" customFormat="1" ht="26.1" customHeight="1">
      <c r="B10" s="190"/>
      <c r="C10" s="183"/>
      <c r="D10" s="183" t="s">
        <v>129</v>
      </c>
      <c r="E10" s="185" t="s">
        <v>151</v>
      </c>
      <c r="F10" s="55"/>
      <c r="G10" s="48"/>
      <c r="H10" s="52">
        <v>0</v>
      </c>
      <c r="I10" s="30"/>
      <c r="R10" s="30"/>
      <c r="S10" s="53" t="s">
        <v>62</v>
      </c>
      <c r="T10" s="55"/>
      <c r="U10" s="48"/>
      <c r="V10" s="52">
        <f>SUMIF(내역서!AF:AF,"합계",내역서!AM:AM)</f>
        <v>0</v>
      </c>
    </row>
    <row r="11" spans="2:22" customFormat="1" ht="26.1" customHeight="1">
      <c r="B11" s="190"/>
      <c r="C11" s="183"/>
      <c r="D11" s="183" t="s">
        <v>131</v>
      </c>
      <c r="E11" s="185" t="s">
        <v>152</v>
      </c>
      <c r="F11" s="44" t="s">
        <v>60</v>
      </c>
      <c r="G11" s="49">
        <v>0.126</v>
      </c>
      <c r="H11" s="52">
        <f>INT(H10*G11)</f>
        <v>0</v>
      </c>
      <c r="I11" s="30"/>
      <c r="R11" s="30"/>
      <c r="S11" s="53" t="s">
        <v>61</v>
      </c>
      <c r="T11" s="44" t="s">
        <v>60</v>
      </c>
      <c r="U11" s="49">
        <f>G11</f>
        <v>0.126</v>
      </c>
      <c r="V11" s="52">
        <f>INT(V10*U11)</f>
        <v>0</v>
      </c>
    </row>
    <row r="12" spans="2:22" customFormat="1" ht="26.1" customHeight="1">
      <c r="B12" s="190"/>
      <c r="C12" s="183" t="s">
        <v>133</v>
      </c>
      <c r="D12" s="183"/>
      <c r="E12" s="184" t="s">
        <v>102</v>
      </c>
      <c r="F12" s="56" t="s">
        <v>58</v>
      </c>
      <c r="G12" s="48"/>
      <c r="H12" s="42">
        <f>SUM(H13:H20)</f>
        <v>0</v>
      </c>
      <c r="I12" s="30"/>
      <c r="R12" s="30"/>
      <c r="S12" s="57" t="s">
        <v>59</v>
      </c>
      <c r="T12" s="56" t="s">
        <v>58</v>
      </c>
      <c r="U12" s="48"/>
      <c r="V12" s="42">
        <f>SUM(V13:V20)</f>
        <v>0</v>
      </c>
    </row>
    <row r="13" spans="2:22" customFormat="1" ht="26.1" customHeight="1">
      <c r="B13" s="190"/>
      <c r="C13" s="183"/>
      <c r="D13" s="183" t="s">
        <v>129</v>
      </c>
      <c r="E13" s="185" t="s">
        <v>153</v>
      </c>
      <c r="F13" s="55"/>
      <c r="G13" s="48"/>
      <c r="H13" s="52">
        <v>0</v>
      </c>
      <c r="I13" s="30"/>
      <c r="R13" s="30"/>
      <c r="S13" s="53" t="s">
        <v>57</v>
      </c>
      <c r="T13" s="55"/>
      <c r="U13" s="48"/>
      <c r="V13" s="52">
        <f>SUMIF(내역서!AF:AF,"합계",내역서!AQ:AQ)</f>
        <v>0</v>
      </c>
    </row>
    <row r="14" spans="2:22" customFormat="1" ht="26.1" customHeight="1">
      <c r="B14" s="190"/>
      <c r="C14" s="183"/>
      <c r="D14" s="183" t="s">
        <v>130</v>
      </c>
      <c r="E14" s="185" t="s">
        <v>154</v>
      </c>
      <c r="F14" s="44" t="s">
        <v>55</v>
      </c>
      <c r="G14" s="49">
        <v>4.0500000000000001E-2</v>
      </c>
      <c r="H14" s="52">
        <f>INT((H9*G14))</f>
        <v>0</v>
      </c>
      <c r="I14" s="30"/>
      <c r="R14" s="30"/>
      <c r="S14" s="53" t="s">
        <v>56</v>
      </c>
      <c r="T14" s="44" t="s">
        <v>55</v>
      </c>
      <c r="U14" s="49">
        <f>G14</f>
        <v>4.0500000000000001E-2</v>
      </c>
      <c r="V14" s="52">
        <f>INT((V9*U14))</f>
        <v>0</v>
      </c>
    </row>
    <row r="15" spans="2:22" customFormat="1" ht="26.1" customHeight="1">
      <c r="B15" s="190"/>
      <c r="C15" s="183"/>
      <c r="D15" s="183" t="s">
        <v>134</v>
      </c>
      <c r="E15" s="185" t="s">
        <v>155</v>
      </c>
      <c r="F15" s="44" t="s">
        <v>52</v>
      </c>
      <c r="G15" s="49">
        <v>0</v>
      </c>
      <c r="H15" s="52">
        <f>INT((H10*G15))</f>
        <v>0</v>
      </c>
      <c r="I15" s="30"/>
      <c r="R15" s="30"/>
      <c r="S15" s="53" t="s">
        <v>54</v>
      </c>
      <c r="T15" s="44" t="s">
        <v>52</v>
      </c>
      <c r="U15" s="49"/>
      <c r="V15" s="52">
        <f>H15</f>
        <v>0</v>
      </c>
    </row>
    <row r="16" spans="2:22" customFormat="1" ht="26.1" customHeight="1">
      <c r="B16" s="190"/>
      <c r="C16" s="183"/>
      <c r="D16" s="183" t="s">
        <v>135</v>
      </c>
      <c r="E16" s="185" t="s">
        <v>156</v>
      </c>
      <c r="F16" s="44" t="s">
        <v>52</v>
      </c>
      <c r="G16" s="49">
        <v>0</v>
      </c>
      <c r="H16" s="52">
        <f>INT((H10*G16))</f>
        <v>0</v>
      </c>
      <c r="I16" s="30"/>
      <c r="R16" s="30"/>
      <c r="S16" s="53" t="s">
        <v>53</v>
      </c>
      <c r="T16" s="44" t="s">
        <v>52</v>
      </c>
      <c r="U16" s="49"/>
      <c r="V16" s="52">
        <f>H16</f>
        <v>0</v>
      </c>
    </row>
    <row r="17" spans="2:26" customFormat="1" ht="26.1" customHeight="1">
      <c r="B17" s="190"/>
      <c r="C17" s="183"/>
      <c r="D17" s="183" t="s">
        <v>136</v>
      </c>
      <c r="E17" s="185" t="s">
        <v>157</v>
      </c>
      <c r="F17" s="51" t="s">
        <v>50</v>
      </c>
      <c r="G17" s="49">
        <v>0</v>
      </c>
      <c r="H17" s="52">
        <f>INT((H15*G17))</f>
        <v>0</v>
      </c>
      <c r="I17" s="30"/>
      <c r="R17" s="30"/>
      <c r="S17" s="54" t="s">
        <v>51</v>
      </c>
      <c r="T17" s="51" t="s">
        <v>50</v>
      </c>
      <c r="U17" s="49"/>
      <c r="V17" s="52">
        <f>INT((V15*U17))</f>
        <v>0</v>
      </c>
      <c r="W17" s="30"/>
    </row>
    <row r="18" spans="2:26" customFormat="1" ht="26.1" customHeight="1">
      <c r="B18" s="190"/>
      <c r="C18" s="183"/>
      <c r="D18" s="183" t="s">
        <v>137</v>
      </c>
      <c r="E18" s="185" t="s">
        <v>189</v>
      </c>
      <c r="F18" s="44" t="s">
        <v>48</v>
      </c>
      <c r="G18" s="49">
        <v>1.8499999999999999E-2</v>
      </c>
      <c r="H18" s="52">
        <v>0</v>
      </c>
      <c r="I18" s="30"/>
      <c r="J18">
        <f>TRUNC(IF((((H7+H10+H26)*G18)-((H7+H10)*G18*1.2))&lt;0,((H7+H10+H26)*G18),((H7+H10)*G18*1.2)),0)</f>
        <v>0</v>
      </c>
      <c r="R18" s="30"/>
      <c r="S18" s="53" t="s">
        <v>49</v>
      </c>
      <c r="T18" s="44" t="s">
        <v>48</v>
      </c>
      <c r="U18" s="49">
        <f>G18</f>
        <v>1.8499999999999999E-2</v>
      </c>
      <c r="V18" s="52">
        <f>INT((V6+V10+V27)*U18)</f>
        <v>0</v>
      </c>
      <c r="W18" s="30"/>
    </row>
    <row r="19" spans="2:26" customFormat="1" ht="26.1" customHeight="1">
      <c r="B19" s="190"/>
      <c r="C19" s="183"/>
      <c r="D19" s="183" t="s">
        <v>138</v>
      </c>
      <c r="E19" s="185" t="s">
        <v>158</v>
      </c>
      <c r="F19" s="44" t="s">
        <v>46</v>
      </c>
      <c r="G19" s="49">
        <v>8.6999999999999994E-3</v>
      </c>
      <c r="H19" s="52">
        <f>INT((H9)*G19)</f>
        <v>0</v>
      </c>
      <c r="I19" s="30"/>
      <c r="R19" s="30"/>
      <c r="S19" s="53" t="s">
        <v>47</v>
      </c>
      <c r="T19" s="44" t="s">
        <v>46</v>
      </c>
      <c r="U19" s="49">
        <f>G19</f>
        <v>8.6999999999999994E-3</v>
      </c>
      <c r="V19" s="52">
        <f>INT((V9)*U19)</f>
        <v>0</v>
      </c>
      <c r="W19" s="30"/>
    </row>
    <row r="20" spans="2:26" customFormat="1" ht="26.1" customHeight="1">
      <c r="B20" s="190"/>
      <c r="C20" s="183"/>
      <c r="D20" s="183" t="s">
        <v>139</v>
      </c>
      <c r="E20" s="185" t="s">
        <v>159</v>
      </c>
      <c r="F20" s="44" t="s">
        <v>44</v>
      </c>
      <c r="G20" s="49">
        <v>7.9000000000000001E-2</v>
      </c>
      <c r="H20" s="52">
        <f>INT((H6+H9)*G20)</f>
        <v>0</v>
      </c>
      <c r="I20" s="30"/>
      <c r="R20" s="30"/>
      <c r="S20" s="53" t="s">
        <v>45</v>
      </c>
      <c r="T20" s="44" t="s">
        <v>44</v>
      </c>
      <c r="U20" s="49">
        <f>G20</f>
        <v>7.9000000000000001E-2</v>
      </c>
      <c r="V20" s="52">
        <f>INT((V6+V9)*U20)</f>
        <v>0</v>
      </c>
      <c r="W20" s="30"/>
    </row>
    <row r="21" spans="2:26" customFormat="1" ht="26.1" customHeight="1">
      <c r="B21" s="190" t="s">
        <v>141</v>
      </c>
      <c r="C21" s="358" t="s">
        <v>160</v>
      </c>
      <c r="D21" s="358"/>
      <c r="E21" s="359"/>
      <c r="F21" s="51" t="s">
        <v>42</v>
      </c>
      <c r="G21" s="49">
        <v>0.06</v>
      </c>
      <c r="H21" s="42">
        <f>INT(H5*G21)</f>
        <v>0</v>
      </c>
      <c r="I21" s="30"/>
      <c r="J21" s="50">
        <f>TRUNC((H9+H12+H21)*G22)</f>
        <v>0</v>
      </c>
      <c r="R21" s="30"/>
      <c r="S21" s="45" t="s">
        <v>43</v>
      </c>
      <c r="T21" s="51" t="s">
        <v>42</v>
      </c>
      <c r="U21" s="49">
        <f>G21</f>
        <v>0.06</v>
      </c>
      <c r="V21" s="42">
        <f>INT(V5*U21)</f>
        <v>0</v>
      </c>
      <c r="W21" s="30"/>
      <c r="X21" s="279">
        <f>TRUNC((V9+V12+V21)*U22)-2261</f>
        <v>-2261</v>
      </c>
      <c r="Y21" s="208"/>
      <c r="Z21" s="208"/>
    </row>
    <row r="22" spans="2:26" customFormat="1" ht="26.1" customHeight="1">
      <c r="B22" s="190" t="s">
        <v>142</v>
      </c>
      <c r="C22" s="358" t="s">
        <v>161</v>
      </c>
      <c r="D22" s="358"/>
      <c r="E22" s="359"/>
      <c r="F22" s="44" t="s">
        <v>40</v>
      </c>
      <c r="G22" s="49">
        <v>0.15</v>
      </c>
      <c r="H22" s="42">
        <f>H23-H21-H5</f>
        <v>0</v>
      </c>
      <c r="I22" s="30"/>
      <c r="R22" s="30"/>
      <c r="S22" s="45" t="s">
        <v>41</v>
      </c>
      <c r="T22" s="44" t="s">
        <v>40</v>
      </c>
      <c r="U22" s="49">
        <f>G22</f>
        <v>0.15</v>
      </c>
      <c r="V22" s="42">
        <f>X21-699</f>
        <v>-2960</v>
      </c>
      <c r="W22" s="30"/>
      <c r="X22" s="208">
        <f>V23-X23</f>
        <v>-5957505</v>
      </c>
      <c r="Y22" s="208"/>
      <c r="Z22" s="208"/>
    </row>
    <row r="23" spans="2:26" customFormat="1" ht="26.1" customHeight="1">
      <c r="B23" s="190" t="s">
        <v>143</v>
      </c>
      <c r="C23" s="358" t="s">
        <v>162</v>
      </c>
      <c r="D23" s="358"/>
      <c r="E23" s="359"/>
      <c r="F23" s="44" t="s">
        <v>38</v>
      </c>
      <c r="G23" s="48"/>
      <c r="H23" s="42">
        <f>ROUNDDOWN((H5+H21+J21),-4)</f>
        <v>0</v>
      </c>
      <c r="I23" s="30"/>
      <c r="R23" s="30"/>
      <c r="S23" s="45" t="s">
        <v>39</v>
      </c>
      <c r="T23" s="44" t="s">
        <v>38</v>
      </c>
      <c r="U23" s="48"/>
      <c r="V23" s="42">
        <f>ROUNDDOWN((V5+V21+V22),0)</f>
        <v>-2960</v>
      </c>
      <c r="W23" s="30"/>
      <c r="X23" s="208">
        <f>TRUNC(내역서!AU1/1.1)</f>
        <v>5954545</v>
      </c>
      <c r="Y23" s="208"/>
      <c r="Z23" s="208"/>
    </row>
    <row r="24" spans="2:26" customFormat="1" ht="26.1" customHeight="1">
      <c r="B24" s="190" t="s">
        <v>144</v>
      </c>
      <c r="C24" s="358" t="s">
        <v>163</v>
      </c>
      <c r="D24" s="358"/>
      <c r="E24" s="359"/>
      <c r="F24" s="44" t="s">
        <v>36</v>
      </c>
      <c r="G24" s="47">
        <v>0.1</v>
      </c>
      <c r="H24" s="46">
        <f>INT(H23*G24)</f>
        <v>0</v>
      </c>
      <c r="I24" s="30"/>
      <c r="J24" s="208">
        <v>18690000</v>
      </c>
      <c r="R24" s="30"/>
      <c r="S24" s="45" t="s">
        <v>37</v>
      </c>
      <c r="T24" s="44" t="s">
        <v>36</v>
      </c>
      <c r="U24" s="47">
        <f>G24</f>
        <v>0.1</v>
      </c>
      <c r="V24" s="46">
        <f>INT(V23*U24)+1</f>
        <v>-295</v>
      </c>
      <c r="W24" s="30"/>
      <c r="X24" s="208"/>
      <c r="Y24" s="208"/>
      <c r="Z24" s="208"/>
    </row>
    <row r="25" spans="2:26" customFormat="1" ht="26.1" customHeight="1">
      <c r="B25" s="190" t="s">
        <v>145</v>
      </c>
      <c r="C25" s="358" t="s">
        <v>164</v>
      </c>
      <c r="D25" s="358"/>
      <c r="E25" s="359"/>
      <c r="F25" s="44" t="s">
        <v>34</v>
      </c>
      <c r="G25" s="43"/>
      <c r="H25" s="42">
        <f>H23+H24</f>
        <v>0</v>
      </c>
      <c r="I25" s="30"/>
      <c r="J25" s="210">
        <f>H25-J24</f>
        <v>-18690000</v>
      </c>
      <c r="R25" s="30"/>
      <c r="S25" s="45" t="s">
        <v>35</v>
      </c>
      <c r="T25" s="44" t="s">
        <v>34</v>
      </c>
      <c r="U25" s="43"/>
      <c r="V25" s="42">
        <f>V23+V24</f>
        <v>-3255</v>
      </c>
      <c r="W25" s="30"/>
      <c r="X25" s="208"/>
      <c r="Y25" s="208"/>
      <c r="Z25" s="208"/>
    </row>
    <row r="26" spans="2:26" customFormat="1" ht="26.1" hidden="1" customHeight="1">
      <c r="B26" s="190" t="s">
        <v>146</v>
      </c>
      <c r="C26" s="358" t="s">
        <v>165</v>
      </c>
      <c r="D26" s="358"/>
      <c r="E26" s="359"/>
      <c r="F26" s="41">
        <v>1</v>
      </c>
      <c r="G26" s="40" t="s">
        <v>32</v>
      </c>
      <c r="H26" s="36">
        <f>SUMIF(내역서!N:N,"관급자재",내역서!G:G)</f>
        <v>0</v>
      </c>
      <c r="I26" s="30"/>
      <c r="R26" s="30"/>
      <c r="S26" s="39" t="s">
        <v>33</v>
      </c>
      <c r="T26" s="41">
        <v>1</v>
      </c>
      <c r="U26" s="40" t="s">
        <v>32</v>
      </c>
      <c r="V26" s="36"/>
      <c r="W26" s="30"/>
      <c r="X26" s="208"/>
      <c r="Y26" s="208"/>
      <c r="Z26" s="208"/>
    </row>
    <row r="27" spans="2:26" customFormat="1" ht="26.1" hidden="1" customHeight="1">
      <c r="B27" s="190" t="s">
        <v>147</v>
      </c>
      <c r="C27" s="358" t="s">
        <v>192</v>
      </c>
      <c r="D27" s="358"/>
      <c r="E27" s="359"/>
      <c r="F27" s="41">
        <v>1</v>
      </c>
      <c r="G27" s="40" t="s">
        <v>32</v>
      </c>
      <c r="H27" s="36"/>
      <c r="I27" s="35"/>
      <c r="R27" s="30"/>
      <c r="S27" s="39" t="s">
        <v>31</v>
      </c>
      <c r="T27" s="38"/>
      <c r="U27" s="37"/>
      <c r="V27" s="36"/>
      <c r="W27" s="35"/>
    </row>
    <row r="28" spans="2:26" customFormat="1" ht="26.1" customHeight="1" thickBot="1">
      <c r="B28" s="191" t="s">
        <v>146</v>
      </c>
      <c r="C28" s="379" t="s">
        <v>166</v>
      </c>
      <c r="D28" s="379"/>
      <c r="E28" s="380"/>
      <c r="F28" s="33"/>
      <c r="G28" s="32"/>
      <c r="H28" s="31">
        <f>SUM(H25:H27)</f>
        <v>0</v>
      </c>
      <c r="I28" s="30"/>
      <c r="R28" s="30"/>
      <c r="S28" s="34" t="s">
        <v>30</v>
      </c>
      <c r="T28" s="33"/>
      <c r="U28" s="32"/>
      <c r="V28" s="31">
        <f>SUM(V25:V27)</f>
        <v>-3255</v>
      </c>
      <c r="W28" s="30"/>
    </row>
  </sheetData>
  <mergeCells count="17">
    <mergeCell ref="C24:E24"/>
    <mergeCell ref="C25:E25"/>
    <mergeCell ref="C26:E26"/>
    <mergeCell ref="C27:E27"/>
    <mergeCell ref="C28:E28"/>
    <mergeCell ref="C23:E23"/>
    <mergeCell ref="S1:V1"/>
    <mergeCell ref="S2:V2"/>
    <mergeCell ref="S3:V3"/>
    <mergeCell ref="B2:H2"/>
    <mergeCell ref="B1:H1"/>
    <mergeCell ref="B3:H3"/>
    <mergeCell ref="B4:E4"/>
    <mergeCell ref="C5:E5"/>
    <mergeCell ref="D6:E6"/>
    <mergeCell ref="C21:E21"/>
    <mergeCell ref="C22:E22"/>
  </mergeCells>
  <phoneticPr fontId="2" type="noConversion"/>
  <printOptions horizontalCentered="1" verticalCentered="1"/>
  <pageMargins left="0.39370078740157483" right="0.39370078740157483" top="0.78740157480314965" bottom="0.39370078740157483" header="0" footer="0"/>
  <pageSetup paperSize="9" orientation="portrait" horizontalDpi="4294967293" verticalDpi="4294967293" r:id="rId1"/>
  <colBreaks count="1" manualBreakCount="1">
    <brk id="17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N22"/>
  <sheetViews>
    <sheetView showZeros="0" view="pageBreakPreview" zoomScale="112" zoomScaleSheetLayoutView="112" workbookViewId="0">
      <selection activeCell="H19" sqref="H19"/>
    </sheetView>
  </sheetViews>
  <sheetFormatPr defaultRowHeight="24.95" customHeight="1"/>
  <cols>
    <col min="1" max="1" width="1.77734375" style="63" customWidth="1"/>
    <col min="2" max="2" width="8.88671875" style="63"/>
    <col min="3" max="3" width="9.88671875" style="63" customWidth="1"/>
    <col min="4" max="4" width="10.77734375" style="63" customWidth="1"/>
    <col min="5" max="5" width="8.88671875" style="63"/>
    <col min="6" max="7" width="9.88671875" style="63" customWidth="1"/>
    <col min="8" max="9" width="8.88671875" style="63"/>
    <col min="10" max="10" width="9.77734375" style="63" bestFit="1" customWidth="1"/>
    <col min="11" max="13" width="8.88671875" style="63"/>
    <col min="14" max="14" width="1.77734375" style="63" customWidth="1"/>
    <col min="15" max="16384" width="8.88671875" style="63"/>
  </cols>
  <sheetData>
    <row r="1" spans="1:14" ht="9.9499999999999993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4.95" customHeight="1">
      <c r="A2" s="65"/>
      <c r="B2" s="65"/>
      <c r="C2" s="387" t="s">
        <v>80</v>
      </c>
      <c r="D2" s="387"/>
      <c r="E2" s="387"/>
      <c r="F2" s="387"/>
      <c r="G2" s="387"/>
      <c r="H2" s="387"/>
      <c r="I2" s="387"/>
      <c r="J2" s="387"/>
      <c r="K2" s="387"/>
      <c r="L2" s="387"/>
      <c r="M2" s="65"/>
      <c r="N2" s="65"/>
    </row>
    <row r="3" spans="1:14" ht="9.9499999999999993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35.1" customHeight="1">
      <c r="A4" s="65"/>
      <c r="B4" s="86" t="s">
        <v>113</v>
      </c>
      <c r="C4" s="388"/>
      <c r="D4" s="388"/>
      <c r="E4" s="85" t="s">
        <v>112</v>
      </c>
      <c r="F4" s="84"/>
      <c r="G4" s="83" t="s">
        <v>79</v>
      </c>
      <c r="H4" s="83"/>
      <c r="I4" s="83" t="s">
        <v>78</v>
      </c>
      <c r="J4" s="82"/>
      <c r="K4" s="389" t="s">
        <v>296</v>
      </c>
      <c r="L4" s="389"/>
      <c r="M4" s="390"/>
      <c r="N4" s="65"/>
    </row>
    <row r="5" spans="1:14" ht="24.95" customHeight="1">
      <c r="A5" s="65"/>
      <c r="B5" s="74"/>
      <c r="C5" s="71"/>
      <c r="D5" s="71"/>
      <c r="E5" s="71"/>
      <c r="F5" s="71"/>
      <c r="G5" s="71"/>
      <c r="H5" s="71"/>
      <c r="I5" s="71"/>
      <c r="J5" s="71"/>
      <c r="K5" s="71"/>
      <c r="L5" s="71"/>
      <c r="M5" s="70"/>
      <c r="N5" s="65"/>
    </row>
    <row r="6" spans="1:14" ht="24.95" customHeight="1" thickBot="1">
      <c r="A6" s="65"/>
      <c r="B6" s="74"/>
      <c r="C6" s="81" t="s">
        <v>230</v>
      </c>
      <c r="D6" s="80"/>
      <c r="E6" s="80"/>
      <c r="F6" s="80"/>
      <c r="G6" s="80"/>
      <c r="H6" s="80"/>
      <c r="I6" s="80"/>
      <c r="J6" s="80"/>
      <c r="K6" s="80"/>
      <c r="L6" s="80"/>
      <c r="M6" s="70"/>
      <c r="N6" s="65"/>
    </row>
    <row r="7" spans="1:14" ht="24.95" customHeight="1" thickTop="1">
      <c r="A7" s="65"/>
      <c r="B7" s="74"/>
      <c r="C7" s="80"/>
      <c r="D7" s="80"/>
      <c r="E7" s="80"/>
      <c r="F7" s="80"/>
      <c r="G7" s="80"/>
      <c r="H7" s="80"/>
      <c r="I7" s="80"/>
      <c r="J7" s="80"/>
      <c r="K7" s="80"/>
      <c r="L7" s="80"/>
      <c r="M7" s="70"/>
      <c r="N7" s="65"/>
    </row>
    <row r="8" spans="1:14" ht="24.95" customHeight="1">
      <c r="A8" s="65"/>
      <c r="B8" s="74"/>
      <c r="C8" s="80"/>
      <c r="D8" s="80"/>
      <c r="E8" s="80"/>
      <c r="F8" s="80"/>
      <c r="G8" s="80"/>
      <c r="H8" s="80"/>
      <c r="I8" s="80"/>
      <c r="J8" s="80"/>
      <c r="K8" s="80"/>
      <c r="L8" s="80"/>
      <c r="M8" s="70"/>
      <c r="N8" s="65"/>
    </row>
    <row r="9" spans="1:14" ht="24.95" customHeight="1">
      <c r="A9" s="65"/>
      <c r="B9" s="74"/>
      <c r="C9" s="80"/>
      <c r="D9" s="80"/>
      <c r="E9" s="80"/>
      <c r="F9" s="80"/>
      <c r="G9" s="80"/>
      <c r="H9" s="80"/>
      <c r="I9" s="80"/>
      <c r="J9" s="80"/>
      <c r="K9" s="80"/>
      <c r="L9" s="80"/>
      <c r="M9" s="70"/>
      <c r="N9" s="65"/>
    </row>
    <row r="10" spans="1:14" ht="24.95" customHeight="1">
      <c r="A10" s="65"/>
      <c r="B10" s="385" t="str">
        <f>원가계산서!B2</f>
        <v xml:space="preserve">신천좌안도로 가창우체국 앞 외 1개소 차광망 설치공사 </v>
      </c>
      <c r="C10" s="386"/>
      <c r="D10" s="386"/>
      <c r="E10" s="386"/>
      <c r="F10" s="386"/>
      <c r="G10" s="386"/>
      <c r="H10" s="386"/>
      <c r="I10" s="386"/>
      <c r="J10" s="299" t="s">
        <v>297</v>
      </c>
      <c r="K10" s="300"/>
      <c r="L10" s="78"/>
      <c r="M10" s="70"/>
      <c r="N10" s="65"/>
    </row>
    <row r="11" spans="1:14" ht="24.95" customHeight="1">
      <c r="A11" s="65"/>
      <c r="B11" s="77"/>
      <c r="C11" s="76"/>
      <c r="D11" s="76"/>
      <c r="E11" s="76"/>
      <c r="F11" s="76"/>
      <c r="G11" s="76"/>
      <c r="H11" s="76"/>
      <c r="I11" s="76"/>
      <c r="J11" s="71"/>
      <c r="K11" s="71"/>
      <c r="L11" s="71"/>
      <c r="M11" s="70"/>
      <c r="N11" s="65"/>
    </row>
    <row r="12" spans="1:14" ht="24.95" customHeight="1">
      <c r="A12" s="65"/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0"/>
      <c r="N12" s="65"/>
    </row>
    <row r="13" spans="1:14" ht="24.95" customHeight="1">
      <c r="A13" s="65"/>
      <c r="B13" s="74"/>
      <c r="C13" s="71" t="s">
        <v>77</v>
      </c>
      <c r="D13" s="136" t="str">
        <f>NUMBERSTRING(D14,1)</f>
        <v>영</v>
      </c>
      <c r="E13" s="136"/>
      <c r="F13" s="136"/>
      <c r="G13" s="71"/>
      <c r="H13" s="71" t="s">
        <v>76</v>
      </c>
      <c r="I13" s="394" t="s">
        <v>283</v>
      </c>
      <c r="J13" s="394"/>
      <c r="K13" s="394"/>
      <c r="L13" s="394"/>
      <c r="M13" s="395"/>
      <c r="N13" s="65"/>
    </row>
    <row r="14" spans="1:14" ht="24.95" customHeight="1">
      <c r="A14" s="65"/>
      <c r="B14" s="74"/>
      <c r="C14" s="71"/>
      <c r="D14" s="391">
        <f>SUM(E17:F19)</f>
        <v>0</v>
      </c>
      <c r="E14" s="391"/>
      <c r="F14" s="391"/>
      <c r="G14" s="71"/>
      <c r="H14" s="71"/>
      <c r="I14" s="392" t="s">
        <v>284</v>
      </c>
      <c r="J14" s="392"/>
      <c r="K14" s="392"/>
      <c r="L14" s="392"/>
      <c r="M14" s="393"/>
      <c r="N14" s="65"/>
    </row>
    <row r="15" spans="1:14" ht="24.95" customHeight="1">
      <c r="A15" s="65"/>
      <c r="B15" s="74"/>
      <c r="C15" s="71"/>
      <c r="D15" s="73"/>
      <c r="E15" s="73"/>
      <c r="F15" s="73"/>
      <c r="G15" s="71"/>
      <c r="H15" s="71"/>
      <c r="I15" s="382" t="s">
        <v>285</v>
      </c>
      <c r="J15" s="382"/>
      <c r="K15" s="382"/>
      <c r="L15" s="382"/>
      <c r="M15" s="383"/>
      <c r="N15" s="65"/>
    </row>
    <row r="16" spans="1:14" ht="24.95" customHeight="1">
      <c r="A16" s="65"/>
      <c r="B16" s="74"/>
      <c r="C16" s="71"/>
      <c r="D16" s="73"/>
      <c r="E16" s="73"/>
      <c r="F16" s="73"/>
      <c r="G16" s="71"/>
      <c r="H16" s="71"/>
      <c r="I16" s="73"/>
      <c r="J16" s="73"/>
      <c r="K16" s="73"/>
      <c r="L16" s="73"/>
      <c r="M16" s="70"/>
      <c r="N16" s="65"/>
    </row>
    <row r="17" spans="1:14" ht="24.95" customHeight="1">
      <c r="A17" s="65"/>
      <c r="B17" s="74"/>
      <c r="C17" s="71" t="s">
        <v>75</v>
      </c>
      <c r="D17" s="73" t="s">
        <v>74</v>
      </c>
      <c r="E17" s="384">
        <f>원가계산서!H25</f>
        <v>0</v>
      </c>
      <c r="F17" s="384"/>
      <c r="G17" s="71"/>
      <c r="H17" s="71"/>
      <c r="I17" s="71"/>
      <c r="J17" s="71"/>
      <c r="K17" s="71"/>
      <c r="L17" s="71"/>
      <c r="M17" s="70"/>
      <c r="N17" s="65"/>
    </row>
    <row r="18" spans="1:14" ht="24.95" customHeight="1">
      <c r="A18" s="65"/>
      <c r="B18" s="74"/>
      <c r="C18" s="71"/>
      <c r="D18" s="75" t="s">
        <v>110</v>
      </c>
      <c r="E18" s="391">
        <f>원가계산서!H26</f>
        <v>0</v>
      </c>
      <c r="F18" s="391"/>
      <c r="G18" s="71"/>
      <c r="H18" s="71"/>
      <c r="I18" s="71"/>
      <c r="J18" s="71"/>
      <c r="K18" s="71"/>
      <c r="L18" s="71"/>
      <c r="M18" s="70"/>
      <c r="N18" s="65"/>
    </row>
    <row r="19" spans="1:14" ht="24.95" customHeight="1">
      <c r="A19" s="65"/>
      <c r="B19" s="74"/>
      <c r="C19" s="71"/>
      <c r="D19" s="301" t="s">
        <v>210</v>
      </c>
      <c r="E19" s="381">
        <f>원가계산서!H27</f>
        <v>0</v>
      </c>
      <c r="F19" s="381"/>
      <c r="G19" s="71"/>
      <c r="H19" s="71"/>
      <c r="I19" s="71"/>
      <c r="J19" s="72"/>
      <c r="K19" s="71"/>
      <c r="L19" s="71"/>
      <c r="M19" s="70"/>
      <c r="N19" s="65"/>
    </row>
    <row r="20" spans="1:14" ht="24.95" customHeight="1" thickBot="1">
      <c r="A20" s="65"/>
      <c r="B20" s="69"/>
      <c r="C20" s="67"/>
      <c r="D20" s="68"/>
      <c r="E20" s="68"/>
      <c r="F20" s="68"/>
      <c r="G20" s="67"/>
      <c r="H20" s="67"/>
      <c r="I20" s="67"/>
      <c r="J20" s="67"/>
      <c r="K20" s="67"/>
      <c r="L20" s="67"/>
      <c r="M20" s="66"/>
      <c r="N20" s="65"/>
    </row>
    <row r="21" spans="1:14" ht="9.9499999999999993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24.95" customHeight="1">
      <c r="C22" s="64" t="str">
        <f>"공사금액 : 일금"&amp;NUMBERSTRING(D14,1)&amp;"원정"&amp;TEXT(D14,"(일금0,00원정)")</f>
        <v>공사금액 : 일금영원정(일금000원정)</v>
      </c>
    </row>
  </sheetData>
  <mergeCells count="11">
    <mergeCell ref="E19:F19"/>
    <mergeCell ref="I15:M15"/>
    <mergeCell ref="E17:F17"/>
    <mergeCell ref="B10:I10"/>
    <mergeCell ref="C2:L2"/>
    <mergeCell ref="C4:D4"/>
    <mergeCell ref="K4:M4"/>
    <mergeCell ref="E18:F18"/>
    <mergeCell ref="D14:F14"/>
    <mergeCell ref="I14:M14"/>
    <mergeCell ref="I13:M13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1"/>
  <sheetViews>
    <sheetView view="pageBreakPreview" zoomScale="96" zoomScaleSheetLayoutView="96" workbookViewId="0">
      <selection activeCell="G15" sqref="G15"/>
    </sheetView>
  </sheetViews>
  <sheetFormatPr defaultRowHeight="24.95" customHeight="1"/>
  <cols>
    <col min="1" max="1" width="1.77734375" style="87" customWidth="1"/>
    <col min="2" max="13" width="8.88671875" style="87"/>
    <col min="14" max="14" width="1.77734375" style="87" customWidth="1"/>
    <col min="15" max="16384" width="8.88671875" style="87"/>
  </cols>
  <sheetData>
    <row r="1" spans="2:13" ht="24.95" customHeight="1" thickBot="1"/>
    <row r="2" spans="2:13" ht="24.95" customHeight="1" thickTop="1"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5"/>
    </row>
    <row r="3" spans="2:13" ht="24.95" customHeight="1">
      <c r="B3" s="94"/>
      <c r="C3" s="93"/>
      <c r="D3" s="93"/>
      <c r="E3" s="93"/>
      <c r="F3" s="93"/>
      <c r="G3" s="93"/>
      <c r="H3" s="93"/>
      <c r="I3" s="93"/>
      <c r="J3" s="93"/>
      <c r="K3" s="93"/>
      <c r="L3" s="93"/>
      <c r="M3" s="91"/>
    </row>
    <row r="4" spans="2:13" ht="24.95" customHeight="1"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1"/>
    </row>
    <row r="5" spans="2:13" ht="24.95" customHeight="1">
      <c r="B5" s="94"/>
      <c r="C5" s="396" t="s">
        <v>82</v>
      </c>
      <c r="D5" s="396"/>
      <c r="E5" s="396"/>
      <c r="F5" s="396"/>
      <c r="G5" s="396"/>
      <c r="H5" s="396"/>
      <c r="I5" s="396"/>
      <c r="J5" s="396"/>
      <c r="K5" s="396"/>
      <c r="L5" s="396"/>
      <c r="M5" s="91"/>
    </row>
    <row r="6" spans="2:13" ht="24.95" customHeight="1">
      <c r="B6" s="94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91"/>
    </row>
    <row r="7" spans="2:13" ht="24.95" customHeight="1"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1"/>
    </row>
    <row r="8" spans="2:13" ht="24.95" customHeight="1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1"/>
    </row>
    <row r="9" spans="2:13" ht="24.95" customHeight="1">
      <c r="B9" s="401" t="s">
        <v>81</v>
      </c>
      <c r="C9" s="402"/>
      <c r="D9" s="399" t="str">
        <f>갑지!B10</f>
        <v xml:space="preserve">신천좌안도로 가창우체국 앞 외 1개소 차광망 설치공사 </v>
      </c>
      <c r="E9" s="399"/>
      <c r="F9" s="399"/>
      <c r="G9" s="399"/>
      <c r="H9" s="399"/>
      <c r="I9" s="399"/>
      <c r="J9" s="399"/>
      <c r="K9" s="399"/>
      <c r="L9" s="399"/>
      <c r="M9" s="400"/>
    </row>
    <row r="10" spans="2:13" ht="24.95" customHeight="1">
      <c r="B10" s="401"/>
      <c r="C10" s="402"/>
      <c r="D10" s="399"/>
      <c r="E10" s="399"/>
      <c r="F10" s="399"/>
      <c r="G10" s="399"/>
      <c r="H10" s="399"/>
      <c r="I10" s="399"/>
      <c r="J10" s="399"/>
      <c r="K10" s="399"/>
      <c r="L10" s="399"/>
      <c r="M10" s="400"/>
    </row>
    <row r="11" spans="2:13" ht="24.95" customHeight="1"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1"/>
    </row>
    <row r="12" spans="2:13" ht="24.95" customHeight="1">
      <c r="B12" s="9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1"/>
    </row>
    <row r="13" spans="2:13" ht="24.95" customHeight="1"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1"/>
    </row>
    <row r="14" spans="2:13" ht="24.95" customHeight="1">
      <c r="B14" s="94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1"/>
    </row>
    <row r="15" spans="2:13" ht="24.95" customHeight="1">
      <c r="B15" s="9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1"/>
    </row>
    <row r="16" spans="2:13" ht="24.95" customHeight="1"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1"/>
    </row>
    <row r="17" spans="2:13" ht="24.95" customHeight="1"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1"/>
    </row>
    <row r="18" spans="2:13" ht="24.95" customHeight="1">
      <c r="B18" s="94"/>
      <c r="C18" s="93"/>
      <c r="D18" s="93"/>
      <c r="E18" s="93"/>
      <c r="F18" s="93"/>
      <c r="G18" s="397" t="s">
        <v>229</v>
      </c>
      <c r="H18" s="397"/>
      <c r="I18" s="397"/>
      <c r="J18" s="397"/>
      <c r="K18" s="397"/>
      <c r="L18" s="397"/>
      <c r="M18" s="91"/>
    </row>
    <row r="19" spans="2:13" ht="24.95" customHeight="1" thickBot="1">
      <c r="B19" s="90"/>
      <c r="C19" s="89"/>
      <c r="D19" s="89"/>
      <c r="E19" s="89"/>
      <c r="F19" s="324"/>
      <c r="G19" s="398"/>
      <c r="H19" s="398"/>
      <c r="I19" s="398"/>
      <c r="J19" s="398"/>
      <c r="K19" s="398"/>
      <c r="L19" s="398"/>
      <c r="M19" s="88"/>
    </row>
    <row r="20" spans="2:13" ht="24.95" customHeight="1" thickTop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2:13" ht="3.75" customHeight="1"/>
  </sheetData>
  <mergeCells count="4">
    <mergeCell ref="C5:L6"/>
    <mergeCell ref="G18:L19"/>
    <mergeCell ref="D9:M10"/>
    <mergeCell ref="B9:C10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AV148"/>
  <sheetViews>
    <sheetView showZeros="0" view="pageBreakPreview" topLeftCell="AE1" zoomScaleNormal="140" zoomScaleSheetLayoutView="100" workbookViewId="0">
      <selection activeCell="AT24" sqref="AT24"/>
    </sheetView>
  </sheetViews>
  <sheetFormatPr defaultRowHeight="24.95" customHeight="1"/>
  <cols>
    <col min="1" max="1" width="1.77734375" style="7" customWidth="1"/>
    <col min="2" max="2" width="12.77734375" style="9" customWidth="1"/>
    <col min="3" max="3" width="6.33203125" style="8" customWidth="1"/>
    <col min="4" max="4" width="6.33203125" style="20" customWidth="1"/>
    <col min="5" max="5" width="4.77734375" style="9" customWidth="1"/>
    <col min="6" max="6" width="8.77734375" style="8" customWidth="1"/>
    <col min="7" max="7" width="10.21875" style="8" customWidth="1"/>
    <col min="8" max="8" width="8.77734375" style="8" customWidth="1"/>
    <col min="9" max="9" width="10.21875" style="8" customWidth="1"/>
    <col min="10" max="10" width="8.77734375" style="8" customWidth="1"/>
    <col min="11" max="11" width="10.21875" style="8" customWidth="1"/>
    <col min="12" max="12" width="8.77734375" style="8" customWidth="1"/>
    <col min="13" max="13" width="10.21875" style="8" customWidth="1"/>
    <col min="14" max="14" width="6.77734375" style="19" customWidth="1"/>
    <col min="15" max="15" width="1.77734375" style="7" customWidth="1"/>
    <col min="16" max="16" width="1.77734375" style="7" hidden="1" customWidth="1"/>
    <col min="17" max="17" width="12.77734375" style="9" hidden="1" customWidth="1"/>
    <col min="18" max="18" width="7.77734375" style="8" hidden="1" customWidth="1"/>
    <col min="19" max="19" width="4.77734375" style="20" hidden="1" customWidth="1"/>
    <col min="20" max="20" width="4.77734375" style="9" hidden="1" customWidth="1"/>
    <col min="21" max="21" width="8.77734375" style="8" hidden="1" customWidth="1"/>
    <col min="22" max="22" width="10.21875" style="8" hidden="1" customWidth="1"/>
    <col min="23" max="23" width="8.77734375" style="8" hidden="1" customWidth="1"/>
    <col min="24" max="24" width="10.21875" style="8" hidden="1" customWidth="1"/>
    <col min="25" max="25" width="8.77734375" style="8" hidden="1" customWidth="1"/>
    <col min="26" max="26" width="10.21875" style="8" hidden="1" customWidth="1"/>
    <col min="27" max="27" width="8.77734375" style="8" hidden="1" customWidth="1"/>
    <col min="28" max="28" width="10.21875" style="8" hidden="1" customWidth="1"/>
    <col min="29" max="29" width="6.77734375" style="19" hidden="1" customWidth="1"/>
    <col min="30" max="30" width="1.77734375" style="7" hidden="1" customWidth="1"/>
    <col min="31" max="31" width="1.77734375" style="140" customWidth="1"/>
    <col min="32" max="32" width="12.77734375" style="9" customWidth="1"/>
    <col min="33" max="33" width="7.77734375" style="8" customWidth="1"/>
    <col min="34" max="34" width="4.77734375" style="20" customWidth="1"/>
    <col min="35" max="35" width="4.77734375" style="9" customWidth="1"/>
    <col min="36" max="36" width="8.77734375" style="8" customWidth="1"/>
    <col min="37" max="37" width="10.21875" style="8" customWidth="1"/>
    <col min="38" max="38" width="8.77734375" style="8" customWidth="1"/>
    <col min="39" max="39" width="10.21875" style="8" customWidth="1"/>
    <col min="40" max="40" width="8.77734375" style="8" customWidth="1"/>
    <col min="41" max="41" width="10.21875" style="8" customWidth="1"/>
    <col min="42" max="42" width="8.77734375" style="8" customWidth="1"/>
    <col min="43" max="43" width="10.21875" style="8" customWidth="1"/>
    <col min="44" max="44" width="6.77734375" style="19" customWidth="1"/>
    <col min="45" max="45" width="1.77734375" style="7" customWidth="1"/>
    <col min="46" max="46" width="8.88671875" style="7"/>
    <col min="47" max="48" width="9.33203125" style="7" bestFit="1" customWidth="1"/>
    <col min="49" max="16384" width="8.88671875" style="7"/>
  </cols>
  <sheetData>
    <row r="1" spans="2:48" ht="24.95" customHeight="1">
      <c r="B1" s="354" t="str">
        <f>내역서!B1</f>
        <v xml:space="preserve">신천좌안도로 가창우체국 앞 외 1개소 차광망 설치공사 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F1" s="405" t="str">
        <f>B1</f>
        <v xml:space="preserve">신천좌안도로 가창우체국 앞 외 1개소 차광망 설치공사 </v>
      </c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V1" s="7">
        <v>178950120</v>
      </c>
    </row>
    <row r="2" spans="2:48" ht="24.95" customHeight="1"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T2" s="141">
        <f>내역서!AT1</f>
        <v>0.89946999999999999</v>
      </c>
    </row>
    <row r="3" spans="2:48" s="16" customFormat="1" ht="24.95" customHeight="1">
      <c r="B3" s="351" t="s">
        <v>27</v>
      </c>
      <c r="C3" s="351" t="s">
        <v>26</v>
      </c>
      <c r="D3" s="353" t="s">
        <v>25</v>
      </c>
      <c r="E3" s="356" t="s">
        <v>24</v>
      </c>
      <c r="F3" s="103" t="s">
        <v>23</v>
      </c>
      <c r="G3" s="104"/>
      <c r="H3" s="103" t="s">
        <v>22</v>
      </c>
      <c r="I3" s="105"/>
      <c r="J3" s="103" t="s">
        <v>21</v>
      </c>
      <c r="K3" s="105"/>
      <c r="L3" s="106" t="s">
        <v>20</v>
      </c>
      <c r="M3" s="107"/>
      <c r="N3" s="349" t="s">
        <v>19</v>
      </c>
      <c r="Q3" s="351" t="s">
        <v>27</v>
      </c>
      <c r="R3" s="351" t="s">
        <v>26</v>
      </c>
      <c r="S3" s="353" t="s">
        <v>25</v>
      </c>
      <c r="T3" s="356" t="s">
        <v>24</v>
      </c>
      <c r="U3" s="352" t="s">
        <v>23</v>
      </c>
      <c r="V3" s="352"/>
      <c r="W3" s="352" t="s">
        <v>22</v>
      </c>
      <c r="X3" s="353"/>
      <c r="Y3" s="352" t="s">
        <v>21</v>
      </c>
      <c r="Z3" s="353"/>
      <c r="AA3" s="355" t="s">
        <v>20</v>
      </c>
      <c r="AB3" s="355"/>
      <c r="AC3" s="349" t="s">
        <v>19</v>
      </c>
      <c r="AE3" s="142"/>
      <c r="AF3" s="351" t="s">
        <v>27</v>
      </c>
      <c r="AG3" s="351" t="s">
        <v>26</v>
      </c>
      <c r="AH3" s="353" t="s">
        <v>25</v>
      </c>
      <c r="AI3" s="356" t="s">
        <v>24</v>
      </c>
      <c r="AJ3" s="352" t="s">
        <v>23</v>
      </c>
      <c r="AK3" s="352"/>
      <c r="AL3" s="352" t="s">
        <v>22</v>
      </c>
      <c r="AM3" s="353"/>
      <c r="AN3" s="352" t="s">
        <v>21</v>
      </c>
      <c r="AO3" s="353"/>
      <c r="AP3" s="355" t="s">
        <v>20</v>
      </c>
      <c r="AQ3" s="355"/>
      <c r="AR3" s="349" t="s">
        <v>19</v>
      </c>
    </row>
    <row r="4" spans="2:48" s="16" customFormat="1" ht="24.95" customHeight="1">
      <c r="B4" s="351"/>
      <c r="C4" s="351"/>
      <c r="D4" s="353"/>
      <c r="E4" s="356"/>
      <c r="F4" s="18" t="s">
        <v>18</v>
      </c>
      <c r="G4" s="17" t="s">
        <v>17</v>
      </c>
      <c r="H4" s="18" t="s">
        <v>18</v>
      </c>
      <c r="I4" s="17" t="s">
        <v>17</v>
      </c>
      <c r="J4" s="18" t="s">
        <v>18</v>
      </c>
      <c r="K4" s="17" t="s">
        <v>17</v>
      </c>
      <c r="L4" s="18" t="s">
        <v>18</v>
      </c>
      <c r="M4" s="17" t="s">
        <v>17</v>
      </c>
      <c r="N4" s="350"/>
      <c r="Q4" s="351"/>
      <c r="R4" s="351"/>
      <c r="S4" s="353"/>
      <c r="T4" s="356"/>
      <c r="U4" s="18" t="s">
        <v>18</v>
      </c>
      <c r="V4" s="17" t="s">
        <v>17</v>
      </c>
      <c r="W4" s="18" t="s">
        <v>18</v>
      </c>
      <c r="X4" s="17" t="s">
        <v>17</v>
      </c>
      <c r="Y4" s="18" t="s">
        <v>18</v>
      </c>
      <c r="Z4" s="17" t="s">
        <v>17</v>
      </c>
      <c r="AA4" s="18" t="s">
        <v>18</v>
      </c>
      <c r="AB4" s="17" t="s">
        <v>17</v>
      </c>
      <c r="AC4" s="350"/>
      <c r="AE4" s="142"/>
      <c r="AF4" s="351"/>
      <c r="AG4" s="351"/>
      <c r="AH4" s="353"/>
      <c r="AI4" s="356"/>
      <c r="AJ4" s="18" t="s">
        <v>18</v>
      </c>
      <c r="AK4" s="17" t="s">
        <v>17</v>
      </c>
      <c r="AL4" s="18" t="s">
        <v>18</v>
      </c>
      <c r="AM4" s="17" t="s">
        <v>17</v>
      </c>
      <c r="AN4" s="18" t="s">
        <v>18</v>
      </c>
      <c r="AO4" s="17" t="s">
        <v>17</v>
      </c>
      <c r="AP4" s="18" t="s">
        <v>18</v>
      </c>
      <c r="AQ4" s="17" t="s">
        <v>17</v>
      </c>
      <c r="AR4" s="350"/>
    </row>
    <row r="5" spans="2:48" s="16" customFormat="1" ht="12.6" customHeight="1">
      <c r="B5" s="422" t="e">
        <f>내역서!#REF!</f>
        <v>#REF!</v>
      </c>
      <c r="C5" s="409" t="e">
        <f>내역서!#REF!</f>
        <v>#REF!</v>
      </c>
      <c r="D5" s="143" t="e">
        <f>내역서!#REF!</f>
        <v>#REF!</v>
      </c>
      <c r="E5" s="411" t="e">
        <f>내역서!#REF!</f>
        <v>#REF!</v>
      </c>
      <c r="F5" s="26">
        <f>SUM(H5,J5,L5)</f>
        <v>0</v>
      </c>
      <c r="G5" s="26" t="e">
        <f>SUM(I5,K5,M5)</f>
        <v>#REF!</v>
      </c>
      <c r="H5" s="26">
        <f>SUMIFS(내역서!$AL$1:$AL$71,내역서!$AF$1:$AF$71,B5,내역서!$AG$1:$AG$71,C5)</f>
        <v>0</v>
      </c>
      <c r="I5" s="26" t="e">
        <f>TRUNC(D5*H5)</f>
        <v>#REF!</v>
      </c>
      <c r="J5" s="26">
        <f>SUMIFS(내역서!$AN$1:$AN$71,내역서!$AF$1:$AF$71,B5,내역서!$AG$1:$AG$71,C5)</f>
        <v>0</v>
      </c>
      <c r="K5" s="26" t="e">
        <f>TRUNC(D5*J5)</f>
        <v>#REF!</v>
      </c>
      <c r="L5" s="26">
        <f>SUMIFS(내역서!$AP$1:$AP$71,내역서!$AF$1:$AF$71,B5,내역서!$AG$1:$AG$71,C5)</f>
        <v>0</v>
      </c>
      <c r="M5" s="25" t="e">
        <f>TRUNC(D5*L5)</f>
        <v>#REF!</v>
      </c>
      <c r="N5" s="144"/>
      <c r="Q5" s="137"/>
      <c r="R5" s="137"/>
      <c r="S5" s="17"/>
      <c r="T5" s="138"/>
      <c r="U5" s="18"/>
      <c r="V5" s="17"/>
      <c r="W5" s="18"/>
      <c r="X5" s="17"/>
      <c r="Y5" s="18"/>
      <c r="Z5" s="17"/>
      <c r="AA5" s="18"/>
      <c r="AB5" s="17"/>
      <c r="AC5" s="139"/>
      <c r="AE5" s="145" t="s">
        <v>98</v>
      </c>
      <c r="AF5" s="407" t="e">
        <f>B5</f>
        <v>#REF!</v>
      </c>
      <c r="AG5" s="409" t="e">
        <f>C5</f>
        <v>#REF!</v>
      </c>
      <c r="AH5" s="146" t="e">
        <f>D5</f>
        <v>#REF!</v>
      </c>
      <c r="AI5" s="411" t="e">
        <f>E5</f>
        <v>#REF!</v>
      </c>
      <c r="AJ5" s="147">
        <f t="shared" ref="AJ5:AK36" si="0">SUM(AL5+AN5+AP5)</f>
        <v>0</v>
      </c>
      <c r="AK5" s="147" t="e">
        <f t="shared" si="0"/>
        <v>#REF!</v>
      </c>
      <c r="AL5" s="147">
        <f>TRUNC($AT$2*H5)</f>
        <v>0</v>
      </c>
      <c r="AM5" s="147" t="e">
        <f t="shared" ref="AM5:AM50" si="1">TRUNC(AH5*AL5)</f>
        <v>#REF!</v>
      </c>
      <c r="AN5" s="147"/>
      <c r="AO5" s="147" t="e">
        <f t="shared" ref="AO5:AO50" si="2">TRUNC(AH5*AN5)</f>
        <v>#REF!</v>
      </c>
      <c r="AP5" s="147">
        <f>TRUNC($AT$2*L5)</f>
        <v>0</v>
      </c>
      <c r="AQ5" s="148" t="e">
        <f t="shared" ref="AQ5:AQ50" si="3">TRUNC(AH5*AP5)</f>
        <v>#REF!</v>
      </c>
      <c r="AR5" s="149" t="s">
        <v>108</v>
      </c>
    </row>
    <row r="6" spans="2:48" s="16" customFormat="1" ht="12.6" customHeight="1">
      <c r="B6" s="412"/>
      <c r="C6" s="410"/>
      <c r="D6" s="143"/>
      <c r="E6" s="427"/>
      <c r="F6" s="26"/>
      <c r="G6" s="26"/>
      <c r="H6" s="26"/>
      <c r="I6" s="26"/>
      <c r="J6" s="26"/>
      <c r="K6" s="26"/>
      <c r="L6" s="26"/>
      <c r="M6" s="25"/>
      <c r="N6" s="144"/>
      <c r="Q6" s="137"/>
      <c r="R6" s="137"/>
      <c r="S6" s="17"/>
      <c r="T6" s="138"/>
      <c r="U6" s="18"/>
      <c r="V6" s="17"/>
      <c r="W6" s="18"/>
      <c r="X6" s="17"/>
      <c r="Y6" s="18"/>
      <c r="Z6" s="17"/>
      <c r="AA6" s="18"/>
      <c r="AB6" s="17"/>
      <c r="AC6" s="139"/>
      <c r="AE6" s="145" t="s">
        <v>114</v>
      </c>
      <c r="AF6" s="408"/>
      <c r="AG6" s="410"/>
      <c r="AH6" s="150" t="str">
        <f>산출!E4</f>
        <v xml:space="preserve"> </v>
      </c>
      <c r="AI6" s="412"/>
      <c r="AJ6" s="151">
        <f t="shared" si="0"/>
        <v>0</v>
      </c>
      <c r="AK6" s="151" t="e">
        <f t="shared" si="0"/>
        <v>#VALUE!</v>
      </c>
      <c r="AL6" s="151">
        <f>AL5</f>
        <v>0</v>
      </c>
      <c r="AM6" s="151" t="e">
        <f t="shared" si="1"/>
        <v>#VALUE!</v>
      </c>
      <c r="AN6" s="151"/>
      <c r="AO6" s="151" t="e">
        <f t="shared" si="2"/>
        <v>#VALUE!</v>
      </c>
      <c r="AP6" s="151">
        <f>AP5</f>
        <v>0</v>
      </c>
      <c r="AQ6" s="152" t="e">
        <f t="shared" si="3"/>
        <v>#VALUE!</v>
      </c>
      <c r="AR6" s="153"/>
    </row>
    <row r="7" spans="2:48" s="16" customFormat="1" ht="12.6" customHeight="1">
      <c r="B7" s="422" t="e">
        <f>내역서!#REF!</f>
        <v>#REF!</v>
      </c>
      <c r="C7" s="409" t="e">
        <f>내역서!#REF!</f>
        <v>#REF!</v>
      </c>
      <c r="D7" s="143" t="e">
        <f>내역서!#REF!</f>
        <v>#REF!</v>
      </c>
      <c r="E7" s="411" t="e">
        <f>내역서!#REF!</f>
        <v>#REF!</v>
      </c>
      <c r="F7" s="26">
        <f>SUM(H7,J7,L7)</f>
        <v>0</v>
      </c>
      <c r="G7" s="26" t="e">
        <f>SUM(I7,K7,M7)</f>
        <v>#REF!</v>
      </c>
      <c r="H7" s="26">
        <f>SUMIFS(내역서!$AL$1:$AL$71,내역서!$AF$1:$AF$71,B7,내역서!$AG$1:$AG$71,C7)</f>
        <v>0</v>
      </c>
      <c r="I7" s="26" t="e">
        <f>TRUNC(D7*H7)</f>
        <v>#REF!</v>
      </c>
      <c r="J7" s="26">
        <f>SUMIFS(내역서!$AN$1:$AN$71,내역서!$AF$1:$AF$71,B7,내역서!$AG$1:$AG$71,C7)</f>
        <v>0</v>
      </c>
      <c r="K7" s="26" t="e">
        <f>TRUNC(D7*J7)</f>
        <v>#REF!</v>
      </c>
      <c r="L7" s="26">
        <f>SUMIFS(내역서!$AP$1:$AP$71,내역서!$AF$1:$AF$71,B7,내역서!$AG$1:$AG$71,C7)</f>
        <v>0</v>
      </c>
      <c r="M7" s="25" t="e">
        <f>TRUNC(D7*L7)</f>
        <v>#REF!</v>
      </c>
      <c r="N7" s="144"/>
      <c r="Q7" s="137"/>
      <c r="R7" s="137"/>
      <c r="S7" s="17"/>
      <c r="T7" s="138"/>
      <c r="U7" s="18"/>
      <c r="V7" s="17"/>
      <c r="W7" s="18"/>
      <c r="X7" s="17"/>
      <c r="Y7" s="18"/>
      <c r="Z7" s="17"/>
      <c r="AA7" s="18"/>
      <c r="AB7" s="17"/>
      <c r="AC7" s="139"/>
      <c r="AE7" s="145" t="s">
        <v>98</v>
      </c>
      <c r="AF7" s="407" t="e">
        <f>B7</f>
        <v>#REF!</v>
      </c>
      <c r="AG7" s="409" t="e">
        <f>C7</f>
        <v>#REF!</v>
      </c>
      <c r="AH7" s="146" t="e">
        <f>D7</f>
        <v>#REF!</v>
      </c>
      <c r="AI7" s="411" t="e">
        <f>E7</f>
        <v>#REF!</v>
      </c>
      <c r="AJ7" s="147">
        <f t="shared" si="0"/>
        <v>0</v>
      </c>
      <c r="AK7" s="147" t="e">
        <f t="shared" si="0"/>
        <v>#REF!</v>
      </c>
      <c r="AL7" s="147">
        <f>TRUNC($AT$2*H7)</f>
        <v>0</v>
      </c>
      <c r="AM7" s="147" t="e">
        <f t="shared" si="1"/>
        <v>#REF!</v>
      </c>
      <c r="AN7" s="147"/>
      <c r="AO7" s="147" t="e">
        <f t="shared" si="2"/>
        <v>#REF!</v>
      </c>
      <c r="AP7" s="147">
        <f>TRUNC($AT$2*L7)</f>
        <v>0</v>
      </c>
      <c r="AQ7" s="148" t="e">
        <f t="shared" si="3"/>
        <v>#REF!</v>
      </c>
      <c r="AR7" s="149" t="s">
        <v>108</v>
      </c>
    </row>
    <row r="8" spans="2:48" s="16" customFormat="1" ht="12.6" customHeight="1">
      <c r="B8" s="412"/>
      <c r="C8" s="410"/>
      <c r="D8" s="143"/>
      <c r="E8" s="427"/>
      <c r="F8" s="26"/>
      <c r="G8" s="26"/>
      <c r="H8" s="26"/>
      <c r="I8" s="26"/>
      <c r="J8" s="26"/>
      <c r="K8" s="26"/>
      <c r="L8" s="26"/>
      <c r="M8" s="25"/>
      <c r="N8" s="144"/>
      <c r="Q8" s="137"/>
      <c r="R8" s="137"/>
      <c r="S8" s="17"/>
      <c r="T8" s="138"/>
      <c r="U8" s="18"/>
      <c r="V8" s="17"/>
      <c r="W8" s="18"/>
      <c r="X8" s="17"/>
      <c r="Y8" s="18"/>
      <c r="Z8" s="17"/>
      <c r="AA8" s="18"/>
      <c r="AB8" s="17"/>
      <c r="AC8" s="139"/>
      <c r="AE8" s="145" t="s">
        <v>114</v>
      </c>
      <c r="AF8" s="408"/>
      <c r="AG8" s="410"/>
      <c r="AH8" s="150">
        <f>산출!E5</f>
        <v>328</v>
      </c>
      <c r="AI8" s="412"/>
      <c r="AJ8" s="151">
        <f t="shared" si="0"/>
        <v>0</v>
      </c>
      <c r="AK8" s="151">
        <f t="shared" si="0"/>
        <v>0</v>
      </c>
      <c r="AL8" s="151">
        <f>AL7</f>
        <v>0</v>
      </c>
      <c r="AM8" s="151">
        <f t="shared" si="1"/>
        <v>0</v>
      </c>
      <c r="AN8" s="151"/>
      <c r="AO8" s="151">
        <f t="shared" si="2"/>
        <v>0</v>
      </c>
      <c r="AP8" s="151">
        <f>AP7</f>
        <v>0</v>
      </c>
      <c r="AQ8" s="152">
        <f t="shared" si="3"/>
        <v>0</v>
      </c>
      <c r="AR8" s="153"/>
    </row>
    <row r="9" spans="2:48" ht="12.6" customHeight="1">
      <c r="B9" s="422" t="e">
        <f>내역서!#REF!</f>
        <v>#REF!</v>
      </c>
      <c r="C9" s="409" t="e">
        <f>내역서!#REF!</f>
        <v>#REF!</v>
      </c>
      <c r="D9" s="143" t="e">
        <f>내역서!#REF!</f>
        <v>#REF!</v>
      </c>
      <c r="E9" s="411" t="e">
        <f>내역서!#REF!</f>
        <v>#REF!</v>
      </c>
      <c r="F9" s="26">
        <f>SUM(H9,J9,L9)</f>
        <v>0</v>
      </c>
      <c r="G9" s="26" t="e">
        <f>SUM(I9,K9,M9)</f>
        <v>#REF!</v>
      </c>
      <c r="H9" s="26">
        <f>SUMIFS(내역서!$AL$1:$AL$71,내역서!$AF$1:$AF$71,B9,내역서!$AG$1:$AG$71,C9)</f>
        <v>0</v>
      </c>
      <c r="I9" s="26" t="e">
        <f>TRUNC(D9*H9)</f>
        <v>#REF!</v>
      </c>
      <c r="J9" s="26">
        <f>SUMIFS(내역서!$AN$1:$AN$71,내역서!$AF$1:$AF$71,B9,내역서!$AG$1:$AG$71,C9)</f>
        <v>0</v>
      </c>
      <c r="K9" s="26" t="e">
        <f>TRUNC(D9*J9)</f>
        <v>#REF!</v>
      </c>
      <c r="L9" s="26">
        <f>SUMIFS(내역서!$AP$1:$AP$71,내역서!$AF$1:$AF$71,B9,내역서!$AG$1:$AG$71,C9)</f>
        <v>0</v>
      </c>
      <c r="M9" s="25" t="e">
        <f>TRUNC(D9*L9)</f>
        <v>#REF!</v>
      </c>
      <c r="N9" s="144"/>
      <c r="Q9" s="23" t="e">
        <v>#REF!</v>
      </c>
      <c r="R9" s="23" t="e">
        <v>#REF!</v>
      </c>
      <c r="S9" s="28" t="e">
        <v>#REF!</v>
      </c>
      <c r="T9" s="23" t="e">
        <v>#REF!</v>
      </c>
      <c r="U9" s="13" t="e">
        <v>#VALUE!</v>
      </c>
      <c r="V9" s="13" t="e">
        <f>TRUNC(S9*U9)</f>
        <v>#REF!</v>
      </c>
      <c r="W9" s="13"/>
      <c r="X9" s="13"/>
      <c r="Y9" s="13"/>
      <c r="Z9" s="13"/>
      <c r="AA9" s="12"/>
      <c r="AB9" s="12"/>
      <c r="AC9" s="24" t="s">
        <v>28</v>
      </c>
      <c r="AE9" s="145" t="s">
        <v>98</v>
      </c>
      <c r="AF9" s="407" t="e">
        <f>B9</f>
        <v>#REF!</v>
      </c>
      <c r="AG9" s="409" t="e">
        <f>C9</f>
        <v>#REF!</v>
      </c>
      <c r="AH9" s="146" t="e">
        <f>D9</f>
        <v>#REF!</v>
      </c>
      <c r="AI9" s="411" t="e">
        <f>E9</f>
        <v>#REF!</v>
      </c>
      <c r="AJ9" s="147">
        <f t="shared" si="0"/>
        <v>0</v>
      </c>
      <c r="AK9" s="147" t="e">
        <f t="shared" si="0"/>
        <v>#REF!</v>
      </c>
      <c r="AL9" s="147">
        <f>TRUNC($AT$2*H9)</f>
        <v>0</v>
      </c>
      <c r="AM9" s="147" t="e">
        <f t="shared" si="1"/>
        <v>#REF!</v>
      </c>
      <c r="AN9" s="147">
        <f>TRUNC($AT$2*J9)</f>
        <v>0</v>
      </c>
      <c r="AO9" s="147" t="e">
        <f t="shared" si="2"/>
        <v>#REF!</v>
      </c>
      <c r="AP9" s="147">
        <f>TRUNC($AT$2*L9)</f>
        <v>0</v>
      </c>
      <c r="AQ9" s="148" t="e">
        <f t="shared" si="3"/>
        <v>#REF!</v>
      </c>
      <c r="AR9" s="149"/>
    </row>
    <row r="10" spans="2:48" ht="12.6" customHeight="1">
      <c r="B10" s="412"/>
      <c r="C10" s="410"/>
      <c r="D10" s="143"/>
      <c r="E10" s="427"/>
      <c r="F10" s="26"/>
      <c r="G10" s="26"/>
      <c r="H10" s="26"/>
      <c r="I10" s="26"/>
      <c r="J10" s="26"/>
      <c r="K10" s="26"/>
      <c r="L10" s="26"/>
      <c r="M10" s="25"/>
      <c r="N10" s="144"/>
      <c r="Q10" s="23"/>
      <c r="R10" s="23"/>
      <c r="S10" s="28"/>
      <c r="T10" s="23"/>
      <c r="U10" s="13"/>
      <c r="V10" s="13"/>
      <c r="W10" s="13"/>
      <c r="X10" s="13"/>
      <c r="Y10" s="13"/>
      <c r="Z10" s="13"/>
      <c r="AA10" s="12"/>
      <c r="AB10" s="12"/>
      <c r="AC10" s="24"/>
      <c r="AE10" s="145" t="s">
        <v>114</v>
      </c>
      <c r="AF10" s="408"/>
      <c r="AG10" s="410"/>
      <c r="AH10" s="150">
        <f>산출!E6</f>
        <v>82</v>
      </c>
      <c r="AI10" s="412"/>
      <c r="AJ10" s="151">
        <f t="shared" si="0"/>
        <v>0</v>
      </c>
      <c r="AK10" s="151">
        <f t="shared" si="0"/>
        <v>0</v>
      </c>
      <c r="AL10" s="151">
        <f>AL9</f>
        <v>0</v>
      </c>
      <c r="AM10" s="151">
        <f t="shared" si="1"/>
        <v>0</v>
      </c>
      <c r="AN10" s="151">
        <f>AN9</f>
        <v>0</v>
      </c>
      <c r="AO10" s="151">
        <f t="shared" si="2"/>
        <v>0</v>
      </c>
      <c r="AP10" s="151">
        <f>AP9</f>
        <v>0</v>
      </c>
      <c r="AQ10" s="152">
        <f t="shared" si="3"/>
        <v>0</v>
      </c>
      <c r="AR10" s="153"/>
    </row>
    <row r="11" spans="2:48" ht="12.6" customHeight="1">
      <c r="B11" s="422" t="e">
        <f>내역서!#REF!</f>
        <v>#REF!</v>
      </c>
      <c r="C11" s="409" t="e">
        <f>내역서!#REF!</f>
        <v>#REF!</v>
      </c>
      <c r="D11" s="143" t="e">
        <f>내역서!#REF!</f>
        <v>#REF!</v>
      </c>
      <c r="E11" s="411" t="e">
        <f>내역서!#REF!</f>
        <v>#REF!</v>
      </c>
      <c r="F11" s="26">
        <f>SUM(H11,J11,L11)</f>
        <v>0</v>
      </c>
      <c r="G11" s="26" t="e">
        <f>SUM(I11,K11,M11)</f>
        <v>#REF!</v>
      </c>
      <c r="H11" s="26">
        <f>SUMIFS(내역서!$AL$1:$AL$71,내역서!$AF$1:$AF$71,B11,내역서!$AG$1:$AG$71,C11)</f>
        <v>0</v>
      </c>
      <c r="I11" s="26" t="e">
        <f>TRUNC(D11*H11)</f>
        <v>#REF!</v>
      </c>
      <c r="J11" s="26">
        <f>SUMIFS(내역서!$AN$1:$AN$71,내역서!$AF$1:$AF$71,B11,내역서!$AG$1:$AG$71,C11)</f>
        <v>0</v>
      </c>
      <c r="K11" s="26" t="e">
        <f>TRUNC(D11*J11)</f>
        <v>#REF!</v>
      </c>
      <c r="L11" s="26">
        <f>SUMIFS(내역서!$AP$1:$AP$71,내역서!$AF$1:$AF$71,B11,내역서!$AG$1:$AG$71,C11)</f>
        <v>0</v>
      </c>
      <c r="M11" s="25" t="e">
        <f>TRUNC(D11*L11)</f>
        <v>#REF!</v>
      </c>
      <c r="N11" s="144"/>
      <c r="Q11" s="23" t="e">
        <v>#REF!</v>
      </c>
      <c r="R11" s="23" t="e">
        <v>#REF!</v>
      </c>
      <c r="S11" s="28" t="e">
        <v>#REF!</v>
      </c>
      <c r="T11" s="23" t="e">
        <v>#REF!</v>
      </c>
      <c r="U11" s="13"/>
      <c r="V11" s="13"/>
      <c r="W11" s="13"/>
      <c r="X11" s="13"/>
      <c r="Y11" s="13"/>
      <c r="Z11" s="13"/>
      <c r="AA11" s="12"/>
      <c r="AB11" s="12"/>
      <c r="AC11" s="24" t="s">
        <v>28</v>
      </c>
      <c r="AE11" s="145" t="s">
        <v>98</v>
      </c>
      <c r="AF11" s="407" t="e">
        <f>B11</f>
        <v>#REF!</v>
      </c>
      <c r="AG11" s="409" t="e">
        <f>C11</f>
        <v>#REF!</v>
      </c>
      <c r="AH11" s="146" t="e">
        <f>D11</f>
        <v>#REF!</v>
      </c>
      <c r="AI11" s="411" t="e">
        <f>E11</f>
        <v>#REF!</v>
      </c>
      <c r="AJ11" s="147">
        <f t="shared" si="0"/>
        <v>0</v>
      </c>
      <c r="AK11" s="147" t="e">
        <f t="shared" si="0"/>
        <v>#REF!</v>
      </c>
      <c r="AL11" s="147">
        <f>TRUNC($AT$2*H11)</f>
        <v>0</v>
      </c>
      <c r="AM11" s="147" t="e">
        <f t="shared" si="1"/>
        <v>#REF!</v>
      </c>
      <c r="AN11" s="147">
        <f>TRUNC($AT$2*J11)</f>
        <v>0</v>
      </c>
      <c r="AO11" s="147" t="e">
        <f t="shared" si="2"/>
        <v>#REF!</v>
      </c>
      <c r="AP11" s="147">
        <f>TRUNC($AT$2*L11)</f>
        <v>0</v>
      </c>
      <c r="AQ11" s="148" t="e">
        <f t="shared" si="3"/>
        <v>#REF!</v>
      </c>
      <c r="AR11" s="149"/>
    </row>
    <row r="12" spans="2:48" ht="12.6" customHeight="1">
      <c r="B12" s="412"/>
      <c r="C12" s="410"/>
      <c r="D12" s="143"/>
      <c r="E12" s="427"/>
      <c r="F12" s="154"/>
      <c r="G12" s="26"/>
      <c r="H12" s="26"/>
      <c r="I12" s="26"/>
      <c r="J12" s="26"/>
      <c r="K12" s="26"/>
      <c r="L12" s="26"/>
      <c r="M12" s="25"/>
      <c r="N12" s="144"/>
      <c r="Q12" s="23"/>
      <c r="R12" s="23"/>
      <c r="S12" s="28"/>
      <c r="T12" s="23"/>
      <c r="U12" s="13"/>
      <c r="V12" s="13"/>
      <c r="W12" s="13"/>
      <c r="X12" s="13"/>
      <c r="Y12" s="13"/>
      <c r="Z12" s="13"/>
      <c r="AA12" s="12"/>
      <c r="AB12" s="12"/>
      <c r="AC12" s="24"/>
      <c r="AE12" s="145" t="s">
        <v>114</v>
      </c>
      <c r="AF12" s="408"/>
      <c r="AG12" s="410"/>
      <c r="AH12" s="150">
        <f>산출!E7</f>
        <v>83</v>
      </c>
      <c r="AI12" s="412"/>
      <c r="AJ12" s="151">
        <f t="shared" si="0"/>
        <v>0</v>
      </c>
      <c r="AK12" s="151">
        <f t="shared" si="0"/>
        <v>0</v>
      </c>
      <c r="AL12" s="151">
        <f>AL11</f>
        <v>0</v>
      </c>
      <c r="AM12" s="151">
        <f t="shared" si="1"/>
        <v>0</v>
      </c>
      <c r="AN12" s="151">
        <f>AN11</f>
        <v>0</v>
      </c>
      <c r="AO12" s="151">
        <f t="shared" si="2"/>
        <v>0</v>
      </c>
      <c r="AP12" s="151">
        <f>AP11</f>
        <v>0</v>
      </c>
      <c r="AQ12" s="152">
        <f t="shared" si="3"/>
        <v>0</v>
      </c>
      <c r="AR12" s="153"/>
    </row>
    <row r="13" spans="2:48" ht="12.6" customHeight="1">
      <c r="B13" s="422" t="e">
        <f>내역서!#REF!</f>
        <v>#REF!</v>
      </c>
      <c r="C13" s="409" t="e">
        <f>내역서!#REF!</f>
        <v>#REF!</v>
      </c>
      <c r="D13" s="143" t="e">
        <f>내역서!#REF!</f>
        <v>#REF!</v>
      </c>
      <c r="E13" s="411" t="e">
        <f>내역서!#REF!</f>
        <v>#REF!</v>
      </c>
      <c r="F13" s="26">
        <f>SUM(H13,J13,L13)</f>
        <v>0</v>
      </c>
      <c r="G13" s="26" t="e">
        <f>SUM(I13,K13,M13)</f>
        <v>#REF!</v>
      </c>
      <c r="H13" s="26">
        <f>SUMIFS(내역서!$AL$1:$AL$71,내역서!$AF$1:$AF$71,B13,내역서!$AG$1:$AG$71,C13)</f>
        <v>0</v>
      </c>
      <c r="I13" s="26" t="e">
        <f>TRUNC(D13*H13)</f>
        <v>#REF!</v>
      </c>
      <c r="J13" s="26">
        <f>SUMIFS(내역서!$AN$1:$AN$71,내역서!$AF$1:$AF$71,B13,내역서!$AG$1:$AG$71,C13)</f>
        <v>0</v>
      </c>
      <c r="K13" s="26" t="e">
        <f>TRUNC(D13*J13)</f>
        <v>#REF!</v>
      </c>
      <c r="L13" s="26">
        <f>SUMIFS(내역서!$AP$1:$AP$71,내역서!$AF$1:$AF$71,B13,내역서!$AG$1:$AG$71,C13)</f>
        <v>0</v>
      </c>
      <c r="M13" s="25" t="e">
        <f>TRUNC(D13*L13)</f>
        <v>#REF!</v>
      </c>
      <c r="N13" s="144"/>
      <c r="Q13" s="23" t="s">
        <v>115</v>
      </c>
      <c r="R13" s="23" t="e">
        <v>#REF!</v>
      </c>
      <c r="S13" s="28" t="e">
        <v>#REF!</v>
      </c>
      <c r="T13" s="23" t="e">
        <v>#REF!</v>
      </c>
      <c r="U13" s="13"/>
      <c r="V13" s="13" t="e">
        <f>SUM(V9:V11)</f>
        <v>#REF!</v>
      </c>
      <c r="W13" s="13"/>
      <c r="X13" s="13" t="e">
        <f>TRUNC(S13*W13)</f>
        <v>#REF!</v>
      </c>
      <c r="Y13" s="13"/>
      <c r="Z13" s="13" t="e">
        <f>TRUNC(S13*Y13)</f>
        <v>#REF!</v>
      </c>
      <c r="AA13" s="12"/>
      <c r="AB13" s="12" t="e">
        <f>TRUNC(S13*AA13)</f>
        <v>#REF!</v>
      </c>
      <c r="AC13" s="29"/>
      <c r="AE13" s="145" t="s">
        <v>116</v>
      </c>
      <c r="AF13" s="407" t="e">
        <f>B13</f>
        <v>#REF!</v>
      </c>
      <c r="AG13" s="409" t="e">
        <f>C13</f>
        <v>#REF!</v>
      </c>
      <c r="AH13" s="146" t="e">
        <f>D13</f>
        <v>#REF!</v>
      </c>
      <c r="AI13" s="411" t="e">
        <f>E13</f>
        <v>#REF!</v>
      </c>
      <c r="AJ13" s="147">
        <f t="shared" si="0"/>
        <v>0</v>
      </c>
      <c r="AK13" s="147" t="e">
        <f t="shared" si="0"/>
        <v>#REF!</v>
      </c>
      <c r="AL13" s="147">
        <f>TRUNC($AT$2*H13)</f>
        <v>0</v>
      </c>
      <c r="AM13" s="147" t="e">
        <f t="shared" si="1"/>
        <v>#REF!</v>
      </c>
      <c r="AN13" s="147">
        <f>TRUNC($AT$2*J13)</f>
        <v>0</v>
      </c>
      <c r="AO13" s="147" t="e">
        <f t="shared" si="2"/>
        <v>#REF!</v>
      </c>
      <c r="AP13" s="147">
        <f>TRUNC($AT$2*L13)</f>
        <v>0</v>
      </c>
      <c r="AQ13" s="148" t="e">
        <f t="shared" si="3"/>
        <v>#REF!</v>
      </c>
      <c r="AR13" s="149"/>
    </row>
    <row r="14" spans="2:48" ht="12.6" customHeight="1">
      <c r="B14" s="412"/>
      <c r="C14" s="410"/>
      <c r="D14" s="143"/>
      <c r="E14" s="427"/>
      <c r="F14" s="26"/>
      <c r="G14" s="26"/>
      <c r="H14" s="26"/>
      <c r="I14" s="26"/>
      <c r="J14" s="26"/>
      <c r="K14" s="26"/>
      <c r="L14" s="26"/>
      <c r="M14" s="25"/>
      <c r="N14" s="144"/>
      <c r="Q14" s="23"/>
      <c r="R14" s="23"/>
      <c r="S14" s="28"/>
      <c r="T14" s="23"/>
      <c r="U14" s="13"/>
      <c r="V14" s="13"/>
      <c r="W14" s="13"/>
      <c r="X14" s="13"/>
      <c r="Y14" s="13"/>
      <c r="Z14" s="13"/>
      <c r="AA14" s="12"/>
      <c r="AB14" s="12"/>
      <c r="AC14" s="29"/>
      <c r="AE14" s="145" t="s">
        <v>114</v>
      </c>
      <c r="AF14" s="408"/>
      <c r="AG14" s="410"/>
      <c r="AH14" s="150" t="e">
        <f>산출!#REF!</f>
        <v>#REF!</v>
      </c>
      <c r="AI14" s="412"/>
      <c r="AJ14" s="151">
        <f t="shared" si="0"/>
        <v>0</v>
      </c>
      <c r="AK14" s="151" t="e">
        <f t="shared" si="0"/>
        <v>#REF!</v>
      </c>
      <c r="AL14" s="151">
        <f>AL13</f>
        <v>0</v>
      </c>
      <c r="AM14" s="151" t="e">
        <f t="shared" si="1"/>
        <v>#REF!</v>
      </c>
      <c r="AN14" s="151">
        <f>AN13</f>
        <v>0</v>
      </c>
      <c r="AO14" s="151" t="e">
        <f t="shared" si="2"/>
        <v>#REF!</v>
      </c>
      <c r="AP14" s="151">
        <f>AP13</f>
        <v>0</v>
      </c>
      <c r="AQ14" s="152" t="e">
        <f t="shared" si="3"/>
        <v>#REF!</v>
      </c>
      <c r="AR14" s="153"/>
    </row>
    <row r="15" spans="2:48" ht="12.6" customHeight="1">
      <c r="B15" s="422" t="e">
        <f>내역서!#REF!</f>
        <v>#REF!</v>
      </c>
      <c r="C15" s="409" t="e">
        <f>내역서!#REF!</f>
        <v>#REF!</v>
      </c>
      <c r="D15" s="143" t="e">
        <f>내역서!#REF!</f>
        <v>#REF!</v>
      </c>
      <c r="E15" s="411" t="e">
        <f>내역서!#REF!</f>
        <v>#REF!</v>
      </c>
      <c r="F15" s="26">
        <f>SUM(H15,J15,L15)</f>
        <v>0</v>
      </c>
      <c r="G15" s="26" t="e">
        <f>SUM(I15,K15,M15)</f>
        <v>#REF!</v>
      </c>
      <c r="H15" s="26">
        <f>SUMIFS(내역서!$AL$1:$AL$71,내역서!$AF$1:$AF$71,B15,내역서!$AG$1:$AG$71,C15)</f>
        <v>0</v>
      </c>
      <c r="I15" s="26" t="e">
        <f>TRUNC(D15*H15)</f>
        <v>#REF!</v>
      </c>
      <c r="J15" s="26">
        <f>SUMIFS(내역서!$AN$1:$AN$71,내역서!$AF$1:$AF$71,B15,내역서!$AG$1:$AG$71,C15)</f>
        <v>0</v>
      </c>
      <c r="K15" s="26" t="e">
        <f>TRUNC(D15*J15)</f>
        <v>#REF!</v>
      </c>
      <c r="L15" s="26">
        <f>SUMIFS(내역서!$AP$1:$AP$71,내역서!$AF$1:$AF$71,B15,내역서!$AG$1:$AG$71,C15)</f>
        <v>0</v>
      </c>
      <c r="M15" s="25" t="e">
        <f>TRUNC(D15*L15)</f>
        <v>#REF!</v>
      </c>
      <c r="N15" s="144"/>
      <c r="Q15" s="23" t="e">
        <v>#REF!</v>
      </c>
      <c r="R15" s="23" t="e">
        <v>#REF!</v>
      </c>
      <c r="S15" s="28" t="e">
        <v>#REF!</v>
      </c>
      <c r="T15" s="23" t="e">
        <v>#REF!</v>
      </c>
      <c r="U15" s="13"/>
      <c r="V15" s="13"/>
      <c r="W15" s="13"/>
      <c r="X15" s="13"/>
      <c r="Y15" s="13"/>
      <c r="Z15" s="13"/>
      <c r="AA15" s="12"/>
      <c r="AB15" s="12"/>
      <c r="AC15" s="22"/>
      <c r="AE15" s="145" t="s">
        <v>116</v>
      </c>
      <c r="AF15" s="407" t="e">
        <f>B15</f>
        <v>#REF!</v>
      </c>
      <c r="AG15" s="409" t="e">
        <f>C15</f>
        <v>#REF!</v>
      </c>
      <c r="AH15" s="146" t="e">
        <f>D15</f>
        <v>#REF!</v>
      </c>
      <c r="AI15" s="411" t="e">
        <f>E15</f>
        <v>#REF!</v>
      </c>
      <c r="AJ15" s="147">
        <f t="shared" si="0"/>
        <v>0</v>
      </c>
      <c r="AK15" s="147" t="e">
        <f t="shared" si="0"/>
        <v>#REF!</v>
      </c>
      <c r="AL15" s="147">
        <f>TRUNC($AT$2*H15)</f>
        <v>0</v>
      </c>
      <c r="AM15" s="147" t="e">
        <f t="shared" si="1"/>
        <v>#REF!</v>
      </c>
      <c r="AN15" s="147">
        <f>TRUNC($AT$2*J15)</f>
        <v>0</v>
      </c>
      <c r="AO15" s="147" t="e">
        <f t="shared" si="2"/>
        <v>#REF!</v>
      </c>
      <c r="AP15" s="147">
        <f>TRUNC($AT$2*L15)</f>
        <v>0</v>
      </c>
      <c r="AQ15" s="148" t="e">
        <f t="shared" si="3"/>
        <v>#REF!</v>
      </c>
      <c r="AR15" s="149"/>
    </row>
    <row r="16" spans="2:48" ht="12.6" customHeight="1">
      <c r="B16" s="412"/>
      <c r="C16" s="410"/>
      <c r="D16" s="143"/>
      <c r="E16" s="427"/>
      <c r="F16" s="26"/>
      <c r="G16" s="26"/>
      <c r="H16" s="26"/>
      <c r="I16" s="26"/>
      <c r="J16" s="26"/>
      <c r="K16" s="26"/>
      <c r="L16" s="26"/>
      <c r="M16" s="25"/>
      <c r="N16" s="144"/>
      <c r="Q16" s="23"/>
      <c r="R16" s="23"/>
      <c r="S16" s="28"/>
      <c r="T16" s="23"/>
      <c r="U16" s="13"/>
      <c r="V16" s="13"/>
      <c r="W16" s="13"/>
      <c r="X16" s="13"/>
      <c r="Y16" s="13"/>
      <c r="Z16" s="13"/>
      <c r="AA16" s="12"/>
      <c r="AB16" s="12"/>
      <c r="AC16" s="22"/>
      <c r="AE16" s="145" t="s">
        <v>117</v>
      </c>
      <c r="AF16" s="408"/>
      <c r="AG16" s="410"/>
      <c r="AH16" s="150" t="e">
        <f>산출!E8</f>
        <v>#NAME?</v>
      </c>
      <c r="AI16" s="412"/>
      <c r="AJ16" s="151">
        <f t="shared" si="0"/>
        <v>0</v>
      </c>
      <c r="AK16" s="151" t="e">
        <f t="shared" si="0"/>
        <v>#NAME?</v>
      </c>
      <c r="AL16" s="151">
        <f>AL15</f>
        <v>0</v>
      </c>
      <c r="AM16" s="151" t="e">
        <f t="shared" si="1"/>
        <v>#NAME?</v>
      </c>
      <c r="AN16" s="151">
        <f>AN15</f>
        <v>0</v>
      </c>
      <c r="AO16" s="151" t="e">
        <f t="shared" si="2"/>
        <v>#NAME?</v>
      </c>
      <c r="AP16" s="151">
        <f>AP15</f>
        <v>0</v>
      </c>
      <c r="AQ16" s="152" t="e">
        <f t="shared" si="3"/>
        <v>#NAME?</v>
      </c>
      <c r="AR16" s="153"/>
    </row>
    <row r="17" spans="2:45" ht="12.6" customHeight="1">
      <c r="B17" s="422" t="e">
        <f>내역서!#REF!</f>
        <v>#REF!</v>
      </c>
      <c r="C17" s="409" t="e">
        <f>내역서!#REF!</f>
        <v>#REF!</v>
      </c>
      <c r="D17" s="143" t="e">
        <f>내역서!#REF!</f>
        <v>#REF!</v>
      </c>
      <c r="E17" s="411" t="e">
        <f>내역서!#REF!</f>
        <v>#REF!</v>
      </c>
      <c r="F17" s="26">
        <f>SUM(H17,J17,L17)</f>
        <v>0</v>
      </c>
      <c r="G17" s="26" t="e">
        <f>SUM(I17,K17,M17)</f>
        <v>#REF!</v>
      </c>
      <c r="H17" s="26">
        <f>SUMIFS(내역서!$AL$1:$AL$71,내역서!$AF$1:$AF$71,B17,내역서!$AG$1:$AG$71,C17)</f>
        <v>0</v>
      </c>
      <c r="I17" s="26" t="e">
        <f>TRUNC(D17*H17)</f>
        <v>#REF!</v>
      </c>
      <c r="J17" s="26">
        <f>SUMIFS(내역서!$AN$1:$AN$71,내역서!$AF$1:$AF$71,B17,내역서!$AG$1:$AG$71,C17)</f>
        <v>0</v>
      </c>
      <c r="K17" s="26" t="e">
        <f>TRUNC(D17*J17)</f>
        <v>#REF!</v>
      </c>
      <c r="L17" s="26">
        <f>SUMIFS(내역서!$AP$1:$AP$71,내역서!$AF$1:$AF$71,B17,내역서!$AG$1:$AG$71,C17)</f>
        <v>0</v>
      </c>
      <c r="M17" s="25" t="e">
        <f>TRUNC(D17*L17)</f>
        <v>#REF!</v>
      </c>
      <c r="N17" s="24"/>
      <c r="Q17" s="23" t="e">
        <v>#REF!</v>
      </c>
      <c r="R17" s="23" t="e">
        <v>#REF!</v>
      </c>
      <c r="S17" s="28" t="e">
        <v>#REF!</v>
      </c>
      <c r="T17" s="23" t="e">
        <v>#REF!</v>
      </c>
      <c r="U17" s="13"/>
      <c r="V17" s="13"/>
      <c r="W17" s="13"/>
      <c r="X17" s="13"/>
      <c r="Y17" s="13"/>
      <c r="Z17" s="13"/>
      <c r="AA17" s="12"/>
      <c r="AB17" s="12"/>
      <c r="AC17" s="22"/>
      <c r="AE17" s="145" t="s">
        <v>116</v>
      </c>
      <c r="AF17" s="407" t="e">
        <f>B17</f>
        <v>#REF!</v>
      </c>
      <c r="AG17" s="409" t="e">
        <f>C17</f>
        <v>#REF!</v>
      </c>
      <c r="AH17" s="146" t="e">
        <f>D17</f>
        <v>#REF!</v>
      </c>
      <c r="AI17" s="411" t="e">
        <f>E17</f>
        <v>#REF!</v>
      </c>
      <c r="AJ17" s="147">
        <f t="shared" si="0"/>
        <v>0</v>
      </c>
      <c r="AK17" s="147" t="e">
        <f t="shared" si="0"/>
        <v>#REF!</v>
      </c>
      <c r="AL17" s="147">
        <f>TRUNC($AT$2*H17)</f>
        <v>0</v>
      </c>
      <c r="AM17" s="147" t="e">
        <f t="shared" si="1"/>
        <v>#REF!</v>
      </c>
      <c r="AN17" s="147">
        <f>TRUNC($AT$2*J17)</f>
        <v>0</v>
      </c>
      <c r="AO17" s="147" t="e">
        <f t="shared" si="2"/>
        <v>#REF!</v>
      </c>
      <c r="AP17" s="147">
        <f>TRUNC($AT$2*L17)</f>
        <v>0</v>
      </c>
      <c r="AQ17" s="148" t="e">
        <f t="shared" si="3"/>
        <v>#REF!</v>
      </c>
      <c r="AR17" s="149"/>
    </row>
    <row r="18" spans="2:45" ht="12.6" customHeight="1">
      <c r="B18" s="412"/>
      <c r="C18" s="410"/>
      <c r="D18" s="143"/>
      <c r="E18" s="427"/>
      <c r="F18" s="26"/>
      <c r="G18" s="26"/>
      <c r="H18" s="26"/>
      <c r="I18" s="26"/>
      <c r="J18" s="26"/>
      <c r="K18" s="26"/>
      <c r="L18" s="26"/>
      <c r="M18" s="25"/>
      <c r="N18" s="24"/>
      <c r="Q18" s="155"/>
      <c r="R18" s="155"/>
      <c r="S18" s="156"/>
      <c r="T18" s="155"/>
      <c r="U18" s="157"/>
      <c r="V18" s="157"/>
      <c r="W18" s="157"/>
      <c r="X18" s="157"/>
      <c r="Y18" s="157"/>
      <c r="Z18" s="157"/>
      <c r="AA18" s="158"/>
      <c r="AB18" s="158"/>
      <c r="AC18" s="159"/>
      <c r="AE18" s="145" t="s">
        <v>117</v>
      </c>
      <c r="AF18" s="408"/>
      <c r="AG18" s="410"/>
      <c r="AH18" s="150" t="e">
        <f>산출!E9</f>
        <v>#NAME?</v>
      </c>
      <c r="AI18" s="412"/>
      <c r="AJ18" s="151">
        <f t="shared" si="0"/>
        <v>0</v>
      </c>
      <c r="AK18" s="151" t="e">
        <f t="shared" si="0"/>
        <v>#NAME?</v>
      </c>
      <c r="AL18" s="151">
        <f>AL17</f>
        <v>0</v>
      </c>
      <c r="AM18" s="151" t="e">
        <f t="shared" si="1"/>
        <v>#NAME?</v>
      </c>
      <c r="AN18" s="151">
        <f>AN17</f>
        <v>0</v>
      </c>
      <c r="AO18" s="151" t="e">
        <f t="shared" si="2"/>
        <v>#NAME?</v>
      </c>
      <c r="AP18" s="151">
        <f>AP17</f>
        <v>0</v>
      </c>
      <c r="AQ18" s="152" t="e">
        <f t="shared" si="3"/>
        <v>#NAME?</v>
      </c>
      <c r="AR18" s="153"/>
    </row>
    <row r="19" spans="2:45" ht="12.6" customHeight="1">
      <c r="B19" s="422" t="e">
        <f>내역서!#REF!</f>
        <v>#REF!</v>
      </c>
      <c r="C19" s="409" t="e">
        <f>내역서!#REF!</f>
        <v>#REF!</v>
      </c>
      <c r="D19" s="143" t="e">
        <f>내역서!#REF!</f>
        <v>#REF!</v>
      </c>
      <c r="E19" s="411" t="e">
        <f>내역서!#REF!</f>
        <v>#REF!</v>
      </c>
      <c r="F19" s="26">
        <f>SUM(H19,J19,L19)</f>
        <v>0</v>
      </c>
      <c r="G19" s="26" t="e">
        <f>SUM(I19,K19,M19)</f>
        <v>#REF!</v>
      </c>
      <c r="H19" s="26">
        <f>SUMIFS(내역서!$AL$1:$AL$71,내역서!$AF$1:$AF$71,B19,내역서!$AG$1:$AG$71,C19)</f>
        <v>0</v>
      </c>
      <c r="I19" s="26" t="e">
        <f>TRUNC(D19*H19)</f>
        <v>#REF!</v>
      </c>
      <c r="J19" s="26">
        <f>SUMIFS(내역서!$AN$1:$AN$71,내역서!$AF$1:$AF$71,B19,내역서!$AG$1:$AG$71,C19)</f>
        <v>0</v>
      </c>
      <c r="K19" s="26" t="e">
        <f>TRUNC(D19*J19)</f>
        <v>#REF!</v>
      </c>
      <c r="L19" s="26">
        <f>SUMIFS(내역서!$AP$1:$AP$71,내역서!$AF$1:$AF$71,B19,내역서!$AG$1:$AG$71,C19)</f>
        <v>0</v>
      </c>
      <c r="M19" s="25" t="e">
        <f>TRUNC(D19*L19)</f>
        <v>#REF!</v>
      </c>
      <c r="N19" s="24"/>
      <c r="AE19" s="145" t="s">
        <v>116</v>
      </c>
      <c r="AF19" s="413" t="e">
        <f>B19</f>
        <v>#REF!</v>
      </c>
      <c r="AG19" s="409" t="e">
        <f>C19</f>
        <v>#REF!</v>
      </c>
      <c r="AH19" s="146" t="e">
        <f>D19</f>
        <v>#REF!</v>
      </c>
      <c r="AI19" s="411" t="e">
        <f>E19</f>
        <v>#REF!</v>
      </c>
      <c r="AJ19" s="147">
        <f t="shared" si="0"/>
        <v>0</v>
      </c>
      <c r="AK19" s="147" t="e">
        <f t="shared" si="0"/>
        <v>#REF!</v>
      </c>
      <c r="AL19" s="147">
        <f>TRUNC($AT$2*H19)</f>
        <v>0</v>
      </c>
      <c r="AM19" s="147" t="e">
        <f t="shared" si="1"/>
        <v>#REF!</v>
      </c>
      <c r="AN19" s="147">
        <f>TRUNC($AT$2*J19)</f>
        <v>0</v>
      </c>
      <c r="AO19" s="147" t="e">
        <f t="shared" si="2"/>
        <v>#REF!</v>
      </c>
      <c r="AP19" s="147">
        <f>TRUNC($AT$2*L19)</f>
        <v>0</v>
      </c>
      <c r="AQ19" s="148" t="e">
        <f t="shared" si="3"/>
        <v>#REF!</v>
      </c>
      <c r="AR19" s="149"/>
    </row>
    <row r="20" spans="2:45" ht="12.6" customHeight="1">
      <c r="B20" s="412"/>
      <c r="C20" s="410"/>
      <c r="D20" s="143"/>
      <c r="E20" s="427"/>
      <c r="F20" s="26"/>
      <c r="G20" s="26"/>
      <c r="H20" s="26"/>
      <c r="I20" s="26"/>
      <c r="J20" s="26"/>
      <c r="K20" s="26"/>
      <c r="L20" s="26"/>
      <c r="M20" s="25"/>
      <c r="N20" s="24"/>
      <c r="AE20" s="145" t="s">
        <v>117</v>
      </c>
      <c r="AF20" s="414"/>
      <c r="AG20" s="410"/>
      <c r="AH20" s="150" t="e">
        <f>산출!E10</f>
        <v>#NAME?</v>
      </c>
      <c r="AI20" s="412"/>
      <c r="AJ20" s="151">
        <f t="shared" si="0"/>
        <v>0</v>
      </c>
      <c r="AK20" s="151" t="e">
        <f t="shared" si="0"/>
        <v>#NAME?</v>
      </c>
      <c r="AL20" s="151">
        <f>AL19</f>
        <v>0</v>
      </c>
      <c r="AM20" s="151" t="e">
        <f t="shared" si="1"/>
        <v>#NAME?</v>
      </c>
      <c r="AN20" s="151">
        <f>AN19</f>
        <v>0</v>
      </c>
      <c r="AO20" s="151" t="e">
        <f t="shared" si="2"/>
        <v>#NAME?</v>
      </c>
      <c r="AP20" s="151">
        <f>AP19</f>
        <v>0</v>
      </c>
      <c r="AQ20" s="152" t="e">
        <f t="shared" si="3"/>
        <v>#NAME?</v>
      </c>
      <c r="AR20" s="153"/>
    </row>
    <row r="21" spans="2:45" ht="12.6" customHeight="1">
      <c r="B21" s="422" t="e">
        <f>내역서!#REF!</f>
        <v>#REF!</v>
      </c>
      <c r="C21" s="409" t="e">
        <f>내역서!#REF!</f>
        <v>#REF!</v>
      </c>
      <c r="D21" s="143" t="e">
        <f>내역서!#REF!</f>
        <v>#REF!</v>
      </c>
      <c r="E21" s="411" t="e">
        <f>내역서!#REF!</f>
        <v>#REF!</v>
      </c>
      <c r="F21" s="26">
        <f>SUM(H21,J21,L21)</f>
        <v>0</v>
      </c>
      <c r="G21" s="26" t="e">
        <f>SUM(I21,K21,M21)</f>
        <v>#REF!</v>
      </c>
      <c r="H21" s="26">
        <f>SUMIFS(내역서!$AL$1:$AL$71,내역서!$AF$1:$AF$71,B21,내역서!$AG$1:$AG$71,C21)</f>
        <v>0</v>
      </c>
      <c r="I21" s="26" t="e">
        <f>TRUNC(D21*H21)</f>
        <v>#REF!</v>
      </c>
      <c r="J21" s="26">
        <f>SUMIFS(내역서!$AN$1:$AN$71,내역서!$AF$1:$AF$71,B21,내역서!$AG$1:$AG$71,C21)</f>
        <v>0</v>
      </c>
      <c r="K21" s="26" t="e">
        <f>TRUNC(D21*J21)</f>
        <v>#REF!</v>
      </c>
      <c r="L21" s="26">
        <f>SUMIFS(내역서!$AP$1:$AP$71,내역서!$AF$1:$AF$71,B21,내역서!$AG$1:$AG$71,C21)</f>
        <v>0</v>
      </c>
      <c r="M21" s="25" t="e">
        <f>TRUNC(D21*L21)</f>
        <v>#REF!</v>
      </c>
      <c r="N21" s="24"/>
      <c r="AE21" s="145" t="s">
        <v>116</v>
      </c>
      <c r="AF21" s="413" t="e">
        <f>B21</f>
        <v>#REF!</v>
      </c>
      <c r="AG21" s="409" t="e">
        <f>C21</f>
        <v>#REF!</v>
      </c>
      <c r="AH21" s="146" t="e">
        <f>D21</f>
        <v>#REF!</v>
      </c>
      <c r="AI21" s="411" t="e">
        <f>E21</f>
        <v>#REF!</v>
      </c>
      <c r="AJ21" s="147">
        <f t="shared" si="0"/>
        <v>0</v>
      </c>
      <c r="AK21" s="147" t="e">
        <f t="shared" si="0"/>
        <v>#REF!</v>
      </c>
      <c r="AL21" s="147">
        <f>TRUNC($AT$2*H21)</f>
        <v>0</v>
      </c>
      <c r="AM21" s="147" t="e">
        <f t="shared" si="1"/>
        <v>#REF!</v>
      </c>
      <c r="AN21" s="147">
        <f>TRUNC($AT$2*J21)</f>
        <v>0</v>
      </c>
      <c r="AO21" s="147" t="e">
        <f t="shared" si="2"/>
        <v>#REF!</v>
      </c>
      <c r="AP21" s="147">
        <f>TRUNC($AT$2*L21)</f>
        <v>0</v>
      </c>
      <c r="AQ21" s="148" t="e">
        <f t="shared" si="3"/>
        <v>#REF!</v>
      </c>
      <c r="AR21" s="149"/>
    </row>
    <row r="22" spans="2:45" ht="12.6" customHeight="1">
      <c r="B22" s="412"/>
      <c r="C22" s="410"/>
      <c r="D22" s="143" t="e">
        <f>내역서!#REF!</f>
        <v>#REF!</v>
      </c>
      <c r="E22" s="427"/>
      <c r="F22" s="26"/>
      <c r="G22" s="26"/>
      <c r="H22" s="26"/>
      <c r="I22" s="26"/>
      <c r="J22" s="26"/>
      <c r="K22" s="26"/>
      <c r="L22" s="26"/>
      <c r="M22" s="25"/>
      <c r="N22" s="24"/>
      <c r="AE22" s="145" t="s">
        <v>117</v>
      </c>
      <c r="AF22" s="414"/>
      <c r="AG22" s="410"/>
      <c r="AH22" s="150">
        <f>산출!E11</f>
        <v>9.58</v>
      </c>
      <c r="AI22" s="412"/>
      <c r="AJ22" s="151">
        <f t="shared" si="0"/>
        <v>0</v>
      </c>
      <c r="AK22" s="151">
        <f t="shared" si="0"/>
        <v>0</v>
      </c>
      <c r="AL22" s="151">
        <f>AL21</f>
        <v>0</v>
      </c>
      <c r="AM22" s="151">
        <f t="shared" si="1"/>
        <v>0</v>
      </c>
      <c r="AN22" s="151">
        <f>AN21</f>
        <v>0</v>
      </c>
      <c r="AO22" s="151">
        <f t="shared" si="2"/>
        <v>0</v>
      </c>
      <c r="AP22" s="151">
        <f>AP21</f>
        <v>0</v>
      </c>
      <c r="AQ22" s="152">
        <f t="shared" si="3"/>
        <v>0</v>
      </c>
      <c r="AR22" s="153"/>
    </row>
    <row r="23" spans="2:45" ht="12.6" customHeight="1">
      <c r="B23" s="422" t="e">
        <f>내역서!#REF!</f>
        <v>#REF!</v>
      </c>
      <c r="C23" s="409" t="e">
        <f>내역서!#REF!</f>
        <v>#REF!</v>
      </c>
      <c r="D23" s="143" t="e">
        <f>내역서!#REF!</f>
        <v>#REF!</v>
      </c>
      <c r="E23" s="415"/>
      <c r="F23" s="15"/>
      <c r="G23" s="15" t="e">
        <f>SUM(G$4:$G22)-SUMIF($N$4:$N$11,"관급자재",$K$4:$K$12)-SUMIF($N$4:$N$11,"지급자재",$K$4:$K$12)</f>
        <v>#REF!</v>
      </c>
      <c r="H23" s="15"/>
      <c r="I23" s="15" t="e">
        <f>SUM($I$4:I22)-SUMIF($N$4:$N$11,"관급자재",$K$4:$K$12)-SUMIF($N$4:$N$11,"지급자재",$K$4:$K$12)</f>
        <v>#REF!</v>
      </c>
      <c r="J23" s="15"/>
      <c r="K23" s="15" t="e">
        <f>SUM($K$4:K22)-SUMIF($N$4:$N$11,"관급자재",$K$4:$K$12)-SUMIF($N$4:$N$11,"지급자재",$K$4:$K$12)</f>
        <v>#REF!</v>
      </c>
      <c r="L23" s="15" t="e">
        <f>SUM(M15:M22)</f>
        <v>#REF!</v>
      </c>
      <c r="M23" s="15" t="e">
        <f>SUM($M$4:M22)-SUMIF($N$4:$N$11,"관급자재",$K$4:$K$12)-SUMIF($N$4:$N$11,"지급자재",$K$4:$K$12)</f>
        <v>#REF!</v>
      </c>
      <c r="N23" s="24"/>
      <c r="AE23" s="145" t="s">
        <v>116</v>
      </c>
      <c r="AF23" s="413" t="e">
        <f>B23</f>
        <v>#REF!</v>
      </c>
      <c r="AG23" s="409" t="e">
        <f>C23</f>
        <v>#REF!</v>
      </c>
      <c r="AH23" s="146" t="str">
        <f>산출!I12</f>
        <v>2대*8시간*일</v>
      </c>
      <c r="AI23" s="415"/>
      <c r="AJ23" s="147" t="e">
        <f t="shared" si="0"/>
        <v>#REF!</v>
      </c>
      <c r="AK23" s="147" t="e">
        <f>SUMIF($AE$5:$AE$22,"○",AK5:AK22)</f>
        <v>#REF!</v>
      </c>
      <c r="AL23" s="147">
        <f>TRUNC($AT$2*H23)</f>
        <v>0</v>
      </c>
      <c r="AM23" s="147" t="e">
        <f>SUMIF($AE$5:$AE$22,"○",AM5:AM22)</f>
        <v>#REF!</v>
      </c>
      <c r="AN23" s="147">
        <f>TRUNC($AT$2*J23)</f>
        <v>0</v>
      </c>
      <c r="AO23" s="147" t="e">
        <f>SUMIF($AE$5:$AE$22,"○",AO5:AO22)</f>
        <v>#REF!</v>
      </c>
      <c r="AP23" s="147" t="e">
        <f>TRUNC($AT$2*L23)</f>
        <v>#REF!</v>
      </c>
      <c r="AQ23" s="147" t="e">
        <f>SUMIF($AE$5:$AE$22,"○",AQ5:AQ22)</f>
        <v>#REF!</v>
      </c>
      <c r="AR23" s="149"/>
    </row>
    <row r="24" spans="2:45" ht="12.6" customHeight="1">
      <c r="B24" s="412"/>
      <c r="C24" s="410"/>
      <c r="D24" s="143" t="e">
        <f>내역서!#REF!</f>
        <v>#REF!</v>
      </c>
      <c r="E24" s="416"/>
      <c r="F24" s="26"/>
      <c r="G24" s="26"/>
      <c r="H24" s="26"/>
      <c r="I24" s="26"/>
      <c r="J24" s="26"/>
      <c r="K24" s="26"/>
      <c r="L24" s="26"/>
      <c r="M24" s="25"/>
      <c r="N24" s="24"/>
      <c r="AE24" s="145" t="s">
        <v>117</v>
      </c>
      <c r="AF24" s="414"/>
      <c r="AG24" s="410"/>
      <c r="AH24" s="150" t="e">
        <f>산출!E12</f>
        <v>#NAME?</v>
      </c>
      <c r="AI24" s="416"/>
      <c r="AJ24" s="151" t="e">
        <f t="shared" si="0"/>
        <v>#REF!</v>
      </c>
      <c r="AK24" s="151" t="e">
        <f>SUMIF($AE$5:$AE$22,"★",AK5:AK22)</f>
        <v>#VALUE!</v>
      </c>
      <c r="AL24" s="151">
        <f>AL23</f>
        <v>0</v>
      </c>
      <c r="AM24" s="151" t="e">
        <f>SUMIF($AE$5:$AE$22,"★",AM5:AM22)</f>
        <v>#VALUE!</v>
      </c>
      <c r="AN24" s="151">
        <f>AN23</f>
        <v>0</v>
      </c>
      <c r="AO24" s="151" t="e">
        <f>SUMIF($AE$5:$AE$22,"★",AO5:AO22)</f>
        <v>#VALUE!</v>
      </c>
      <c r="AP24" s="151" t="e">
        <f>AP23</f>
        <v>#REF!</v>
      </c>
      <c r="AQ24" s="151" t="e">
        <f>SUMIF($AE$5:$AE$22,"★",AQ5:AQ22)</f>
        <v>#VALUE!</v>
      </c>
      <c r="AR24" s="153"/>
    </row>
    <row r="25" spans="2:45" ht="12.6" customHeight="1">
      <c r="B25" s="422" t="e">
        <f>내역서!#REF!</f>
        <v>#REF!</v>
      </c>
      <c r="C25" s="409" t="e">
        <f>내역서!#REF!</f>
        <v>#REF!</v>
      </c>
      <c r="D25" s="203" t="e">
        <f>내역서!#REF!</f>
        <v>#REF!</v>
      </c>
      <c r="E25" s="415"/>
      <c r="F25" s="15"/>
      <c r="G25" s="15" t="e">
        <f>SUM(I25,M25,K25)</f>
        <v>#REF!</v>
      </c>
      <c r="H25" s="15"/>
      <c r="I25" s="15"/>
      <c r="J25" s="15" t="e">
        <f>TRUNC(H24*D25)</f>
        <v>#REF!</v>
      </c>
      <c r="K25" s="15" t="e">
        <f>TRUNC(I23*D25)</f>
        <v>#REF!</v>
      </c>
      <c r="L25" s="14"/>
      <c r="M25" s="14"/>
      <c r="N25" s="24"/>
      <c r="AE25" s="145" t="s">
        <v>116</v>
      </c>
      <c r="AF25" s="413" t="e">
        <f>B25</f>
        <v>#REF!</v>
      </c>
      <c r="AG25" s="409" t="e">
        <f>C25</f>
        <v>#REF!</v>
      </c>
      <c r="AH25" s="204" t="e">
        <f>D25</f>
        <v>#REF!</v>
      </c>
      <c r="AI25" s="415"/>
      <c r="AJ25" s="147" t="e">
        <f t="shared" si="0"/>
        <v>#REF!</v>
      </c>
      <c r="AK25" s="147" t="e">
        <f t="shared" si="0"/>
        <v>#REF!</v>
      </c>
      <c r="AL25" s="147">
        <f>TRUNC($AT$2*H25)</f>
        <v>0</v>
      </c>
      <c r="AM25" s="147" t="e">
        <f t="shared" si="1"/>
        <v>#REF!</v>
      </c>
      <c r="AN25" s="147" t="e">
        <f>TRUNC($AT$2*J25)</f>
        <v>#REF!</v>
      </c>
      <c r="AO25" s="147" t="e">
        <f>TRUNC(AH25*AM23)</f>
        <v>#REF!</v>
      </c>
      <c r="AP25" s="147">
        <f>TRUNC($AT$2*L25)</f>
        <v>0</v>
      </c>
      <c r="AQ25" s="148" t="e">
        <f t="shared" si="3"/>
        <v>#REF!</v>
      </c>
      <c r="AR25" s="149"/>
    </row>
    <row r="26" spans="2:45" ht="12.6" customHeight="1">
      <c r="B26" s="412"/>
      <c r="C26" s="410"/>
      <c r="D26" s="143" t="e">
        <f>내역서!#REF!</f>
        <v>#REF!</v>
      </c>
      <c r="E26" s="416"/>
      <c r="F26" s="26"/>
      <c r="G26" s="26"/>
      <c r="H26" s="26"/>
      <c r="I26" s="26"/>
      <c r="J26" s="26"/>
      <c r="K26" s="26"/>
      <c r="L26" s="26"/>
      <c r="M26" s="25"/>
      <c r="N26" s="24"/>
      <c r="AE26" s="145" t="s">
        <v>117</v>
      </c>
      <c r="AF26" s="414"/>
      <c r="AG26" s="410"/>
      <c r="AH26" s="205" t="e">
        <f>AH25</f>
        <v>#REF!</v>
      </c>
      <c r="AI26" s="416"/>
      <c r="AJ26" s="151" t="e">
        <f t="shared" si="0"/>
        <v>#REF!</v>
      </c>
      <c r="AK26" s="151" t="e">
        <f t="shared" si="0"/>
        <v>#REF!</v>
      </c>
      <c r="AL26" s="151">
        <f>AL25</f>
        <v>0</v>
      </c>
      <c r="AM26" s="151" t="e">
        <f t="shared" si="1"/>
        <v>#REF!</v>
      </c>
      <c r="AN26" s="151" t="e">
        <f>AN25</f>
        <v>#REF!</v>
      </c>
      <c r="AO26" s="151" t="e">
        <f>TRUNC(AH26*AM24)</f>
        <v>#REF!</v>
      </c>
      <c r="AP26" s="151">
        <f>AP25</f>
        <v>0</v>
      </c>
      <c r="AQ26" s="152" t="e">
        <f t="shared" si="3"/>
        <v>#REF!</v>
      </c>
      <c r="AR26" s="153"/>
    </row>
    <row r="27" spans="2:45" ht="12.6" customHeight="1">
      <c r="B27" s="422" t="e">
        <f>내역서!#REF!</f>
        <v>#REF!</v>
      </c>
      <c r="C27" s="409"/>
      <c r="D27" s="143" t="e">
        <f>내역서!#REF!</f>
        <v>#REF!</v>
      </c>
      <c r="E27" s="415"/>
      <c r="F27" s="15"/>
      <c r="G27" s="15" t="e">
        <f>SUM(G23:G25)</f>
        <v>#REF!</v>
      </c>
      <c r="H27" s="15"/>
      <c r="I27" s="15" t="e">
        <f>SUM(I23:I26)</f>
        <v>#REF!</v>
      </c>
      <c r="J27" s="15"/>
      <c r="K27" s="15" t="e">
        <f>SUM(K23:K25)</f>
        <v>#REF!</v>
      </c>
      <c r="L27" s="15">
        <f>SUM(L25:M26)</f>
        <v>0</v>
      </c>
      <c r="M27" s="15">
        <f>SUBTOTAL(9,M25:M26)</f>
        <v>0</v>
      </c>
      <c r="N27" s="24"/>
      <c r="AE27" s="145" t="s">
        <v>116</v>
      </c>
      <c r="AF27" s="413" t="s">
        <v>0</v>
      </c>
      <c r="AG27" s="409">
        <f>C27</f>
        <v>0</v>
      </c>
      <c r="AH27" s="206" t="s">
        <v>98</v>
      </c>
      <c r="AI27" s="418"/>
      <c r="AJ27" s="147">
        <f t="shared" si="0"/>
        <v>0</v>
      </c>
      <c r="AK27" s="147" t="e">
        <f>SUMIF($AE$23:$AE$26,"○",AK23:AK26)</f>
        <v>#REF!</v>
      </c>
      <c r="AL27" s="147">
        <f>TRUNC($AT$2*H27)</f>
        <v>0</v>
      </c>
      <c r="AM27" s="147" t="e">
        <f>SUMIF($AE$23:$AE$26,"○",AM23:AM26)</f>
        <v>#REF!</v>
      </c>
      <c r="AN27" s="147">
        <f>TRUNC($AT$2*J27)</f>
        <v>0</v>
      </c>
      <c r="AO27" s="147" t="e">
        <f>SUMIF($AE$23:$AE$26,"○",AO23:AO26)</f>
        <v>#REF!</v>
      </c>
      <c r="AP27" s="147">
        <f>TRUNC($AT$2*L27)</f>
        <v>0</v>
      </c>
      <c r="AQ27" s="147" t="e">
        <f>SUMIF($AE$23:$AE$26,"○",AQ23:AQ26)</f>
        <v>#REF!</v>
      </c>
      <c r="AR27" s="149"/>
    </row>
    <row r="28" spans="2:45" ht="12.6" customHeight="1">
      <c r="B28" s="412"/>
      <c r="C28" s="410"/>
      <c r="D28" s="143" t="e">
        <f>내역서!#REF!</f>
        <v>#REF!</v>
      </c>
      <c r="E28" s="416"/>
      <c r="F28" s="26"/>
      <c r="G28" s="26"/>
      <c r="H28" s="26"/>
      <c r="I28" s="26"/>
      <c r="J28" s="26"/>
      <c r="K28" s="26"/>
      <c r="L28" s="26"/>
      <c r="M28" s="25"/>
      <c r="N28" s="24"/>
      <c r="AE28" s="145" t="s">
        <v>117</v>
      </c>
      <c r="AF28" s="417"/>
      <c r="AG28" s="410"/>
      <c r="AH28" s="207" t="s">
        <v>114</v>
      </c>
      <c r="AI28" s="419"/>
      <c r="AJ28" s="151">
        <f t="shared" si="0"/>
        <v>0</v>
      </c>
      <c r="AK28" s="151" t="e">
        <f>SUMIF($AE$23:$AE$26,"★",AK23:AK26)</f>
        <v>#VALUE!</v>
      </c>
      <c r="AL28" s="151">
        <f>AL27</f>
        <v>0</v>
      </c>
      <c r="AM28" s="151" t="e">
        <f>SUMIF($AE$23:$AE$26,"★",AM23:AM26)</f>
        <v>#VALUE!</v>
      </c>
      <c r="AN28" s="151">
        <f>AN27</f>
        <v>0</v>
      </c>
      <c r="AO28" s="151" t="e">
        <f>SUMIF($AE$23:$AE$26,"★",AO23:AO26)</f>
        <v>#VALUE!</v>
      </c>
      <c r="AP28" s="151">
        <f>AP27</f>
        <v>0</v>
      </c>
      <c r="AQ28" s="151" t="e">
        <f>SUMIF($AE$23:$AE$26,"★",AQ23:AQ26)</f>
        <v>#VALUE!</v>
      </c>
      <c r="AR28" s="153"/>
    </row>
    <row r="29" spans="2:45" ht="12.6" customHeight="1">
      <c r="B29" s="422" t="e">
        <f>내역서!#REF!</f>
        <v>#REF!</v>
      </c>
      <c r="C29" s="409"/>
      <c r="D29" s="143" t="e">
        <f>내역서!#REF!</f>
        <v>#REF!</v>
      </c>
      <c r="E29" s="415"/>
      <c r="F29" s="26"/>
      <c r="G29" s="26"/>
      <c r="H29" s="26"/>
      <c r="I29" s="26"/>
      <c r="J29" s="26"/>
      <c r="K29" s="26"/>
      <c r="L29" s="26"/>
      <c r="M29" s="25"/>
      <c r="N29" s="24"/>
      <c r="AE29" s="145" t="s">
        <v>116</v>
      </c>
      <c r="AF29" s="413" t="e">
        <f>B29</f>
        <v>#REF!</v>
      </c>
      <c r="AG29" s="409">
        <f>C29</f>
        <v>0</v>
      </c>
      <c r="AH29" s="160">
        <f>산출!I15</f>
        <v>0</v>
      </c>
      <c r="AI29" s="418"/>
      <c r="AJ29" s="147">
        <f t="shared" si="0"/>
        <v>0</v>
      </c>
      <c r="AK29" s="147">
        <f t="shared" si="0"/>
        <v>0</v>
      </c>
      <c r="AL29" s="147">
        <f>TRUNC($AT$2*H29)</f>
        <v>0</v>
      </c>
      <c r="AM29" s="147">
        <f t="shared" si="1"/>
        <v>0</v>
      </c>
      <c r="AN29" s="147">
        <f>TRUNC($AT$2*J29)</f>
        <v>0</v>
      </c>
      <c r="AO29" s="147">
        <f t="shared" si="2"/>
        <v>0</v>
      </c>
      <c r="AP29" s="147">
        <f>TRUNC($AT$2*L29)</f>
        <v>0</v>
      </c>
      <c r="AQ29" s="148">
        <f t="shared" si="3"/>
        <v>0</v>
      </c>
      <c r="AR29" s="149"/>
    </row>
    <row r="30" spans="2:45" ht="12.6" customHeight="1">
      <c r="B30" s="412"/>
      <c r="C30" s="410"/>
      <c r="D30" s="143" t="e">
        <f>내역서!#REF!</f>
        <v>#REF!</v>
      </c>
      <c r="E30" s="416"/>
      <c r="F30" s="26"/>
      <c r="G30" s="26"/>
      <c r="H30" s="26"/>
      <c r="I30" s="26"/>
      <c r="J30" s="26"/>
      <c r="K30" s="26"/>
      <c r="L30" s="26"/>
      <c r="M30" s="25"/>
      <c r="N30" s="24"/>
      <c r="AE30" s="145" t="s">
        <v>117</v>
      </c>
      <c r="AF30" s="414"/>
      <c r="AG30" s="410"/>
      <c r="AH30" s="161">
        <f>산출!E15</f>
        <v>570</v>
      </c>
      <c r="AI30" s="419"/>
      <c r="AJ30" s="151">
        <f t="shared" si="0"/>
        <v>0</v>
      </c>
      <c r="AK30" s="151">
        <f t="shared" si="0"/>
        <v>0</v>
      </c>
      <c r="AL30" s="151">
        <f>AL29</f>
        <v>0</v>
      </c>
      <c r="AM30" s="151">
        <f t="shared" si="1"/>
        <v>0</v>
      </c>
      <c r="AN30" s="151">
        <f>AN29</f>
        <v>0</v>
      </c>
      <c r="AO30" s="151">
        <f t="shared" si="2"/>
        <v>0</v>
      </c>
      <c r="AP30" s="151">
        <f>AP29</f>
        <v>0</v>
      </c>
      <c r="AQ30" s="152">
        <f t="shared" si="3"/>
        <v>0</v>
      </c>
      <c r="AR30" s="153"/>
    </row>
    <row r="31" spans="2:45" ht="12.6" customHeight="1">
      <c r="B31" s="422" t="e">
        <f>내역서!#REF!</f>
        <v>#REF!</v>
      </c>
      <c r="C31" s="409"/>
      <c r="D31" s="143">
        <f>내역서!AH1</f>
        <v>0</v>
      </c>
      <c r="E31" s="415"/>
      <c r="F31" s="26"/>
      <c r="G31" s="26"/>
      <c r="H31" s="26"/>
      <c r="I31" s="26"/>
      <c r="J31" s="26"/>
      <c r="K31" s="26"/>
      <c r="L31" s="26"/>
      <c r="M31" s="25"/>
      <c r="N31" s="24"/>
      <c r="AE31" s="145" t="s">
        <v>116</v>
      </c>
      <c r="AF31" s="413" t="e">
        <f>B31</f>
        <v>#REF!</v>
      </c>
      <c r="AG31" s="409">
        <f>C31</f>
        <v>0</v>
      </c>
      <c r="AH31" s="146">
        <f>산출!I16</f>
        <v>0</v>
      </c>
      <c r="AI31" s="418"/>
      <c r="AJ31" s="147">
        <f t="shared" si="0"/>
        <v>0</v>
      </c>
      <c r="AK31" s="147">
        <f t="shared" si="0"/>
        <v>0</v>
      </c>
      <c r="AL31" s="147">
        <f>TRUNC($AT$2*H31)</f>
        <v>0</v>
      </c>
      <c r="AM31" s="147">
        <f t="shared" si="1"/>
        <v>0</v>
      </c>
      <c r="AN31" s="147">
        <f>TRUNC($AT$2*J31)</f>
        <v>0</v>
      </c>
      <c r="AO31" s="147">
        <f t="shared" si="2"/>
        <v>0</v>
      </c>
      <c r="AP31" s="147">
        <f>TRUNC($AT$2*L31)</f>
        <v>0</v>
      </c>
      <c r="AQ31" s="148">
        <f t="shared" si="3"/>
        <v>0</v>
      </c>
      <c r="AR31" s="149"/>
      <c r="AS31" s="162"/>
    </row>
    <row r="32" spans="2:45" ht="12.6" customHeight="1">
      <c r="B32" s="412"/>
      <c r="C32" s="410"/>
      <c r="D32" s="143">
        <f>내역서!AH2</f>
        <v>0</v>
      </c>
      <c r="E32" s="416"/>
      <c r="F32" s="26"/>
      <c r="G32" s="26"/>
      <c r="H32" s="26"/>
      <c r="I32" s="26"/>
      <c r="J32" s="26"/>
      <c r="K32" s="26"/>
      <c r="L32" s="26"/>
      <c r="M32" s="25"/>
      <c r="N32" s="24"/>
      <c r="AE32" s="145" t="s">
        <v>117</v>
      </c>
      <c r="AF32" s="414"/>
      <c r="AG32" s="410"/>
      <c r="AH32" s="150">
        <f>산출!E16</f>
        <v>55</v>
      </c>
      <c r="AI32" s="419"/>
      <c r="AJ32" s="151">
        <f t="shared" si="0"/>
        <v>0</v>
      </c>
      <c r="AK32" s="151">
        <f t="shared" si="0"/>
        <v>0</v>
      </c>
      <c r="AL32" s="151">
        <f>AL31</f>
        <v>0</v>
      </c>
      <c r="AM32" s="151">
        <f>TRUNC(AH32*AL32)</f>
        <v>0</v>
      </c>
      <c r="AN32" s="151">
        <f>AN31</f>
        <v>0</v>
      </c>
      <c r="AO32" s="151">
        <f>TRUNC(AH32*AN32)</f>
        <v>0</v>
      </c>
      <c r="AP32" s="151">
        <f>AP31</f>
        <v>0</v>
      </c>
      <c r="AQ32" s="152">
        <f>TRUNC(AH32*AP32)</f>
        <v>0</v>
      </c>
      <c r="AR32" s="153"/>
      <c r="AS32" s="163">
        <f>TRUNC($AT$2*O32)</f>
        <v>0</v>
      </c>
    </row>
    <row r="33" spans="2:45" ht="12.6" customHeight="1">
      <c r="B33" s="422" t="e">
        <f>내역서!#REF!</f>
        <v>#REF!</v>
      </c>
      <c r="C33" s="409"/>
      <c r="D33" s="143">
        <f>내역서!AH3</f>
        <v>0</v>
      </c>
      <c r="E33" s="415"/>
      <c r="F33" s="26"/>
      <c r="G33" s="26"/>
      <c r="H33" s="26"/>
      <c r="I33" s="26"/>
      <c r="J33" s="26"/>
      <c r="K33" s="26"/>
      <c r="L33" s="26"/>
      <c r="M33" s="25"/>
      <c r="N33" s="24"/>
      <c r="AE33" s="145" t="s">
        <v>116</v>
      </c>
      <c r="AF33" s="407" t="e">
        <f>B33</f>
        <v>#REF!</v>
      </c>
      <c r="AG33" s="409">
        <f>C33</f>
        <v>0</v>
      </c>
      <c r="AH33" s="146" t="str">
        <f>산출!I17</f>
        <v xml:space="preserve"> 83개 : 신규          470개 : 기존</v>
      </c>
      <c r="AI33" s="418"/>
      <c r="AJ33" s="147">
        <f t="shared" si="0"/>
        <v>0</v>
      </c>
      <c r="AK33" s="147" t="e">
        <f t="shared" si="0"/>
        <v>#VALUE!</v>
      </c>
      <c r="AL33" s="147">
        <f>TRUNC($AT$2*H33)</f>
        <v>0</v>
      </c>
      <c r="AM33" s="147" t="e">
        <f t="shared" si="1"/>
        <v>#VALUE!</v>
      </c>
      <c r="AN33" s="147">
        <f>TRUNC($AT$2*J33)</f>
        <v>0</v>
      </c>
      <c r="AO33" s="147" t="e">
        <f t="shared" si="2"/>
        <v>#VALUE!</v>
      </c>
      <c r="AP33" s="147">
        <f>TRUNC($AT$2*L33)</f>
        <v>0</v>
      </c>
      <c r="AQ33" s="148" t="e">
        <f t="shared" si="3"/>
        <v>#VALUE!</v>
      </c>
      <c r="AR33" s="149"/>
      <c r="AS33" s="164">
        <f>AS32</f>
        <v>0</v>
      </c>
    </row>
    <row r="34" spans="2:45" ht="12.6" customHeight="1">
      <c r="B34" s="412"/>
      <c r="C34" s="410"/>
      <c r="D34" s="143">
        <f>내역서!AH4</f>
        <v>0</v>
      </c>
      <c r="E34" s="416"/>
      <c r="F34" s="26"/>
      <c r="G34" s="26"/>
      <c r="H34" s="26"/>
      <c r="I34" s="26"/>
      <c r="J34" s="26"/>
      <c r="K34" s="26"/>
      <c r="L34" s="26"/>
      <c r="M34" s="25"/>
      <c r="N34" s="24"/>
      <c r="AE34" s="145" t="s">
        <v>117</v>
      </c>
      <c r="AF34" s="408"/>
      <c r="AG34" s="410"/>
      <c r="AH34" s="150">
        <f>산출!E17</f>
        <v>16.600000000000001</v>
      </c>
      <c r="AI34" s="419"/>
      <c r="AJ34" s="151">
        <f t="shared" si="0"/>
        <v>0</v>
      </c>
      <c r="AK34" s="151">
        <f t="shared" si="0"/>
        <v>0</v>
      </c>
      <c r="AL34" s="151">
        <f>AL33</f>
        <v>0</v>
      </c>
      <c r="AM34" s="151">
        <f t="shared" si="1"/>
        <v>0</v>
      </c>
      <c r="AN34" s="151">
        <f>AN33</f>
        <v>0</v>
      </c>
      <c r="AO34" s="151">
        <f t="shared" si="2"/>
        <v>0</v>
      </c>
      <c r="AP34" s="151">
        <f>AP33</f>
        <v>0</v>
      </c>
      <c r="AQ34" s="152">
        <f t="shared" si="3"/>
        <v>0</v>
      </c>
      <c r="AR34" s="153"/>
      <c r="AS34" s="162"/>
    </row>
    <row r="35" spans="2:45" ht="12.6" customHeight="1">
      <c r="B35" s="422" t="e">
        <f>내역서!#REF!</f>
        <v>#REF!</v>
      </c>
      <c r="C35" s="409"/>
      <c r="D35" s="143">
        <f>내역서!AH5</f>
        <v>0</v>
      </c>
      <c r="E35" s="415"/>
      <c r="F35" s="26"/>
      <c r="G35" s="26"/>
      <c r="H35" s="26"/>
      <c r="I35" s="26"/>
      <c r="J35" s="26"/>
      <c r="K35" s="26"/>
      <c r="L35" s="26"/>
      <c r="M35" s="25"/>
      <c r="N35" s="24"/>
      <c r="AE35" s="145" t="s">
        <v>116</v>
      </c>
      <c r="AF35" s="407" t="e">
        <f>B35</f>
        <v>#REF!</v>
      </c>
      <c r="AG35" s="409">
        <f>C35</f>
        <v>0</v>
      </c>
      <c r="AH35" s="165">
        <f>산출!I18</f>
        <v>0</v>
      </c>
      <c r="AI35" s="420"/>
      <c r="AJ35" s="147">
        <f t="shared" si="0"/>
        <v>0</v>
      </c>
      <c r="AK35" s="147">
        <f t="shared" si="0"/>
        <v>0</v>
      </c>
      <c r="AL35" s="147">
        <f>TRUNC($AT$2*H35)</f>
        <v>0</v>
      </c>
      <c r="AM35" s="147">
        <f t="shared" si="1"/>
        <v>0</v>
      </c>
      <c r="AN35" s="147">
        <f>TRUNC($AT$2*J35)</f>
        <v>0</v>
      </c>
      <c r="AO35" s="147">
        <f t="shared" si="2"/>
        <v>0</v>
      </c>
      <c r="AP35" s="147">
        <f>TRUNC($AT$2*L35)</f>
        <v>0</v>
      </c>
      <c r="AQ35" s="148">
        <f t="shared" si="3"/>
        <v>0</v>
      </c>
      <c r="AR35" s="149"/>
      <c r="AS35" s="162"/>
    </row>
    <row r="36" spans="2:45" ht="12.6" customHeight="1">
      <c r="B36" s="412"/>
      <c r="C36" s="410"/>
      <c r="D36" s="143">
        <f>내역서!AH6</f>
        <v>0</v>
      </c>
      <c r="E36" s="416"/>
      <c r="F36" s="26"/>
      <c r="G36" s="26"/>
      <c r="H36" s="26"/>
      <c r="I36" s="26"/>
      <c r="J36" s="26"/>
      <c r="K36" s="26"/>
      <c r="L36" s="26"/>
      <c r="M36" s="25"/>
      <c r="N36" s="24"/>
      <c r="AE36" s="145" t="s">
        <v>117</v>
      </c>
      <c r="AF36" s="408"/>
      <c r="AG36" s="410"/>
      <c r="AH36" s="166">
        <f>산출!E18</f>
        <v>0</v>
      </c>
      <c r="AI36" s="421"/>
      <c r="AJ36" s="151">
        <f t="shared" si="0"/>
        <v>0</v>
      </c>
      <c r="AK36" s="151">
        <f t="shared" si="0"/>
        <v>0</v>
      </c>
      <c r="AL36" s="151">
        <f>AL35</f>
        <v>0</v>
      </c>
      <c r="AM36" s="151">
        <f t="shared" si="1"/>
        <v>0</v>
      </c>
      <c r="AN36" s="151">
        <f>AN35</f>
        <v>0</v>
      </c>
      <c r="AO36" s="151">
        <f t="shared" si="2"/>
        <v>0</v>
      </c>
      <c r="AP36" s="151">
        <f>AP35</f>
        <v>0</v>
      </c>
      <c r="AQ36" s="152">
        <f t="shared" si="3"/>
        <v>0</v>
      </c>
      <c r="AR36" s="153"/>
    </row>
    <row r="37" spans="2:45" ht="12.6" customHeight="1">
      <c r="B37" s="422" t="e">
        <f>내역서!#REF!</f>
        <v>#REF!</v>
      </c>
      <c r="C37" s="409"/>
      <c r="D37" s="143">
        <f>내역서!AH7</f>
        <v>0</v>
      </c>
      <c r="E37" s="415"/>
      <c r="F37" s="26"/>
      <c r="G37" s="26"/>
      <c r="H37" s="26"/>
      <c r="I37" s="26"/>
      <c r="J37" s="26"/>
      <c r="K37" s="26"/>
      <c r="L37" s="26"/>
      <c r="M37" s="25"/>
      <c r="N37" s="24"/>
      <c r="AE37" s="145" t="s">
        <v>116</v>
      </c>
      <c r="AF37" s="407" t="e">
        <f>B37</f>
        <v>#REF!</v>
      </c>
      <c r="AG37" s="409">
        <f>C37</f>
        <v>0</v>
      </c>
      <c r="AH37" s="165">
        <f>산출!I19</f>
        <v>0</v>
      </c>
      <c r="AI37" s="420"/>
      <c r="AJ37" s="147">
        <f t="shared" ref="AJ37:AK50" si="4">SUM(AL37+AN37+AP37)</f>
        <v>0</v>
      </c>
      <c r="AK37" s="147">
        <f t="shared" si="4"/>
        <v>0</v>
      </c>
      <c r="AL37" s="147">
        <f>TRUNC($AT$2*H37)</f>
        <v>0</v>
      </c>
      <c r="AM37" s="147">
        <f t="shared" si="1"/>
        <v>0</v>
      </c>
      <c r="AN37" s="147">
        <f>TRUNC($AT$2*J37)</f>
        <v>0</v>
      </c>
      <c r="AO37" s="147">
        <f t="shared" si="2"/>
        <v>0</v>
      </c>
      <c r="AP37" s="147">
        <f>TRUNC($AT$2*L37)</f>
        <v>0</v>
      </c>
      <c r="AQ37" s="148">
        <f t="shared" si="3"/>
        <v>0</v>
      </c>
      <c r="AR37" s="149"/>
    </row>
    <row r="38" spans="2:45" ht="12.6" customHeight="1">
      <c r="B38" s="412"/>
      <c r="C38" s="410"/>
      <c r="D38" s="143">
        <f>내역서!AH8</f>
        <v>0</v>
      </c>
      <c r="E38" s="416"/>
      <c r="F38" s="26"/>
      <c r="G38" s="26"/>
      <c r="H38" s="26"/>
      <c r="I38" s="26"/>
      <c r="J38" s="26"/>
      <c r="K38" s="26"/>
      <c r="L38" s="26"/>
      <c r="M38" s="25"/>
      <c r="N38" s="24"/>
      <c r="AE38" s="145" t="s">
        <v>117</v>
      </c>
      <c r="AF38" s="408"/>
      <c r="AG38" s="410"/>
      <c r="AH38" s="167">
        <f>산출!E19</f>
        <v>0</v>
      </c>
      <c r="AI38" s="421"/>
      <c r="AJ38" s="151">
        <f t="shared" si="4"/>
        <v>0</v>
      </c>
      <c r="AK38" s="151">
        <f t="shared" si="4"/>
        <v>0</v>
      </c>
      <c r="AL38" s="151">
        <f>AL37</f>
        <v>0</v>
      </c>
      <c r="AM38" s="151">
        <f t="shared" si="1"/>
        <v>0</v>
      </c>
      <c r="AN38" s="151">
        <f>AN37</f>
        <v>0</v>
      </c>
      <c r="AO38" s="151">
        <f t="shared" si="2"/>
        <v>0</v>
      </c>
      <c r="AP38" s="151">
        <f>AP37</f>
        <v>0</v>
      </c>
      <c r="AQ38" s="152">
        <f t="shared" si="3"/>
        <v>0</v>
      </c>
      <c r="AR38" s="153"/>
    </row>
    <row r="39" spans="2:45" ht="12.6" customHeight="1">
      <c r="B39" s="422" t="e">
        <f>내역서!#REF!</f>
        <v>#REF!</v>
      </c>
      <c r="C39" s="409"/>
      <c r="D39" s="143">
        <f>내역서!AH9</f>
        <v>0</v>
      </c>
      <c r="E39" s="415"/>
      <c r="F39" s="26"/>
      <c r="G39" s="26"/>
      <c r="H39" s="26"/>
      <c r="I39" s="26"/>
      <c r="J39" s="26"/>
      <c r="K39" s="26"/>
      <c r="L39" s="26"/>
      <c r="M39" s="25"/>
      <c r="N39" s="24"/>
      <c r="AE39" s="145" t="s">
        <v>116</v>
      </c>
      <c r="AF39" s="407" t="e">
        <f>B39</f>
        <v>#REF!</v>
      </c>
      <c r="AG39" s="409">
        <f>C39</f>
        <v>0</v>
      </c>
      <c r="AH39" s="165">
        <f>산출!I43</f>
        <v>0</v>
      </c>
      <c r="AI39" s="420"/>
      <c r="AJ39" s="147">
        <f t="shared" si="4"/>
        <v>0</v>
      </c>
      <c r="AK39" s="147">
        <f t="shared" si="4"/>
        <v>0</v>
      </c>
      <c r="AL39" s="147">
        <f>TRUNC($AT$2*H39)</f>
        <v>0</v>
      </c>
      <c r="AM39" s="147">
        <f t="shared" si="1"/>
        <v>0</v>
      </c>
      <c r="AN39" s="147">
        <f>TRUNC($AT$2*J39)</f>
        <v>0</v>
      </c>
      <c r="AO39" s="147">
        <f t="shared" si="2"/>
        <v>0</v>
      </c>
      <c r="AP39" s="147">
        <f>TRUNC($AT$2*L39)</f>
        <v>0</v>
      </c>
      <c r="AQ39" s="148">
        <f t="shared" si="3"/>
        <v>0</v>
      </c>
      <c r="AR39" s="149"/>
    </row>
    <row r="40" spans="2:45" ht="12.6" customHeight="1">
      <c r="B40" s="412"/>
      <c r="C40" s="410"/>
      <c r="D40" s="143">
        <f>내역서!AH10</f>
        <v>0</v>
      </c>
      <c r="E40" s="416"/>
      <c r="F40" s="26"/>
      <c r="G40" s="26"/>
      <c r="H40" s="26"/>
      <c r="I40" s="26"/>
      <c r="J40" s="26"/>
      <c r="K40" s="26"/>
      <c r="L40" s="26"/>
      <c r="M40" s="25"/>
      <c r="N40" s="24"/>
      <c r="AE40" s="145" t="s">
        <v>117</v>
      </c>
      <c r="AF40" s="408"/>
      <c r="AG40" s="410"/>
      <c r="AH40" s="166">
        <f>산출!E43</f>
        <v>0</v>
      </c>
      <c r="AI40" s="421"/>
      <c r="AJ40" s="151">
        <f t="shared" si="4"/>
        <v>0</v>
      </c>
      <c r="AK40" s="151">
        <f t="shared" si="4"/>
        <v>0</v>
      </c>
      <c r="AL40" s="151">
        <f>AL39</f>
        <v>0</v>
      </c>
      <c r="AM40" s="151">
        <f t="shared" si="1"/>
        <v>0</v>
      </c>
      <c r="AN40" s="151">
        <f>AN39</f>
        <v>0</v>
      </c>
      <c r="AO40" s="151">
        <f t="shared" si="2"/>
        <v>0</v>
      </c>
      <c r="AP40" s="151">
        <f>AP39</f>
        <v>0</v>
      </c>
      <c r="AQ40" s="152">
        <f t="shared" si="3"/>
        <v>0</v>
      </c>
      <c r="AR40" s="153"/>
    </row>
    <row r="41" spans="2:45" ht="12.6" customHeight="1">
      <c r="B41" s="422" t="e">
        <f>내역서!#REF!</f>
        <v>#REF!</v>
      </c>
      <c r="C41" s="409"/>
      <c r="D41" s="143">
        <f>내역서!AH11</f>
        <v>0</v>
      </c>
      <c r="E41" s="415"/>
      <c r="F41" s="26"/>
      <c r="G41" s="26"/>
      <c r="H41" s="26"/>
      <c r="I41" s="26"/>
      <c r="J41" s="26"/>
      <c r="K41" s="26"/>
      <c r="L41" s="26"/>
      <c r="M41" s="25"/>
      <c r="N41" s="24"/>
      <c r="AE41" s="145" t="s">
        <v>116</v>
      </c>
      <c r="AF41" s="407" t="e">
        <f>B41</f>
        <v>#REF!</v>
      </c>
      <c r="AG41" s="409">
        <f>C41</f>
        <v>0</v>
      </c>
      <c r="AH41" s="146">
        <f>산출!I44</f>
        <v>0</v>
      </c>
      <c r="AI41" s="411"/>
      <c r="AJ41" s="147">
        <f t="shared" si="4"/>
        <v>0</v>
      </c>
      <c r="AK41" s="147">
        <f t="shared" si="4"/>
        <v>0</v>
      </c>
      <c r="AL41" s="147">
        <f>TRUNC($AT$2*H41)</f>
        <v>0</v>
      </c>
      <c r="AM41" s="147">
        <f t="shared" si="1"/>
        <v>0</v>
      </c>
      <c r="AN41" s="147">
        <f>TRUNC($AT$2*J41)</f>
        <v>0</v>
      </c>
      <c r="AO41" s="147">
        <f t="shared" si="2"/>
        <v>0</v>
      </c>
      <c r="AP41" s="147">
        <f>TRUNC($AT$2*L41)</f>
        <v>0</v>
      </c>
      <c r="AQ41" s="148">
        <f t="shared" si="3"/>
        <v>0</v>
      </c>
      <c r="AR41" s="149"/>
    </row>
    <row r="42" spans="2:45" ht="12.6" customHeight="1">
      <c r="B42" s="412"/>
      <c r="C42" s="410"/>
      <c r="D42" s="143">
        <f>내역서!AH12</f>
        <v>0</v>
      </c>
      <c r="E42" s="416"/>
      <c r="F42" s="26"/>
      <c r="G42" s="26"/>
      <c r="H42" s="26"/>
      <c r="I42" s="26"/>
      <c r="J42" s="26"/>
      <c r="K42" s="26"/>
      <c r="L42" s="26"/>
      <c r="M42" s="25"/>
      <c r="N42" s="24"/>
      <c r="AE42" s="145" t="s">
        <v>117</v>
      </c>
      <c r="AF42" s="408"/>
      <c r="AG42" s="410"/>
      <c r="AH42" s="150">
        <f>산출!E44</f>
        <v>0</v>
      </c>
      <c r="AI42" s="427"/>
      <c r="AJ42" s="151">
        <f t="shared" si="4"/>
        <v>0</v>
      </c>
      <c r="AK42" s="151">
        <f t="shared" si="4"/>
        <v>0</v>
      </c>
      <c r="AL42" s="151">
        <f>AL41</f>
        <v>0</v>
      </c>
      <c r="AM42" s="151">
        <f t="shared" si="1"/>
        <v>0</v>
      </c>
      <c r="AN42" s="151">
        <f>AN41</f>
        <v>0</v>
      </c>
      <c r="AO42" s="151">
        <f t="shared" si="2"/>
        <v>0</v>
      </c>
      <c r="AP42" s="151">
        <f>AP41</f>
        <v>0</v>
      </c>
      <c r="AQ42" s="152">
        <f t="shared" si="3"/>
        <v>0</v>
      </c>
      <c r="AR42" s="153"/>
    </row>
    <row r="43" spans="2:45" ht="12.6" customHeight="1">
      <c r="B43" s="422" t="e">
        <f>내역서!#REF!</f>
        <v>#REF!</v>
      </c>
      <c r="C43" s="425"/>
      <c r="D43" s="143">
        <f>내역서!AH13</f>
        <v>0</v>
      </c>
      <c r="E43" s="415"/>
      <c r="F43" s="26"/>
      <c r="G43" s="26"/>
      <c r="H43" s="26"/>
      <c r="I43" s="26"/>
      <c r="J43" s="26"/>
      <c r="K43" s="26"/>
      <c r="L43" s="26"/>
      <c r="M43" s="25"/>
      <c r="N43" s="24"/>
      <c r="AE43" s="145" t="s">
        <v>116</v>
      </c>
      <c r="AF43" s="407" t="e">
        <f>B43</f>
        <v>#REF!</v>
      </c>
      <c r="AG43" s="425">
        <f>C43</f>
        <v>0</v>
      </c>
      <c r="AH43" s="146">
        <f>산출!I45</f>
        <v>0</v>
      </c>
      <c r="AI43" s="411"/>
      <c r="AJ43" s="147">
        <f t="shared" si="4"/>
        <v>0</v>
      </c>
      <c r="AK43" s="147">
        <f t="shared" si="4"/>
        <v>0</v>
      </c>
      <c r="AL43" s="147">
        <f>TRUNC($AT$2*H43)</f>
        <v>0</v>
      </c>
      <c r="AM43" s="147">
        <f t="shared" si="1"/>
        <v>0</v>
      </c>
      <c r="AN43" s="147">
        <f>TRUNC($AT$2*J43)</f>
        <v>0</v>
      </c>
      <c r="AO43" s="147">
        <f t="shared" si="2"/>
        <v>0</v>
      </c>
      <c r="AP43" s="147">
        <f>TRUNC($AT$2*L43)</f>
        <v>0</v>
      </c>
      <c r="AQ43" s="148">
        <f t="shared" si="3"/>
        <v>0</v>
      </c>
      <c r="AR43" s="149"/>
    </row>
    <row r="44" spans="2:45" ht="12.6" customHeight="1">
      <c r="B44" s="412"/>
      <c r="C44" s="426"/>
      <c r="D44" s="143"/>
      <c r="E44" s="416"/>
      <c r="F44" s="26"/>
      <c r="G44" s="26"/>
      <c r="H44" s="26"/>
      <c r="I44" s="26"/>
      <c r="J44" s="26"/>
      <c r="K44" s="26"/>
      <c r="L44" s="26"/>
      <c r="M44" s="25"/>
      <c r="N44" s="24"/>
      <c r="AE44" s="145" t="s">
        <v>117</v>
      </c>
      <c r="AF44" s="408"/>
      <c r="AG44" s="426"/>
      <c r="AH44" s="150">
        <f>산출!E45</f>
        <v>0</v>
      </c>
      <c r="AI44" s="427"/>
      <c r="AJ44" s="151">
        <f t="shared" si="4"/>
        <v>0</v>
      </c>
      <c r="AK44" s="151">
        <f t="shared" si="4"/>
        <v>0</v>
      </c>
      <c r="AL44" s="151">
        <f>AL43</f>
        <v>0</v>
      </c>
      <c r="AM44" s="151">
        <f t="shared" si="1"/>
        <v>0</v>
      </c>
      <c r="AN44" s="151">
        <f>AN43</f>
        <v>0</v>
      </c>
      <c r="AO44" s="151">
        <f t="shared" si="2"/>
        <v>0</v>
      </c>
      <c r="AP44" s="151">
        <f>AP43</f>
        <v>0</v>
      </c>
      <c r="AQ44" s="152">
        <f t="shared" si="3"/>
        <v>0</v>
      </c>
      <c r="AR44" s="153"/>
    </row>
    <row r="45" spans="2:45" ht="12.6" customHeight="1">
      <c r="B45" s="422" t="e">
        <f>내역서!#REF!</f>
        <v>#REF!</v>
      </c>
      <c r="C45" s="409"/>
      <c r="D45" s="143">
        <f>산출!I46</f>
        <v>0</v>
      </c>
      <c r="E45" s="415"/>
      <c r="F45" s="26"/>
      <c r="G45" s="26"/>
      <c r="H45" s="26"/>
      <c r="I45" s="26"/>
      <c r="J45" s="26"/>
      <c r="K45" s="26"/>
      <c r="L45" s="26"/>
      <c r="M45" s="25"/>
      <c r="N45" s="24"/>
      <c r="AE45" s="145" t="s">
        <v>116</v>
      </c>
      <c r="AF45" s="407" t="e">
        <f>B45</f>
        <v>#REF!</v>
      </c>
      <c r="AG45" s="425">
        <f>C45</f>
        <v>0</v>
      </c>
      <c r="AH45" s="146">
        <f>산출!I46</f>
        <v>0</v>
      </c>
      <c r="AI45" s="411"/>
      <c r="AJ45" s="147">
        <f t="shared" si="4"/>
        <v>0</v>
      </c>
      <c r="AK45" s="147">
        <f t="shared" si="4"/>
        <v>0</v>
      </c>
      <c r="AL45" s="147">
        <f>TRUNC($AT$2*H45)</f>
        <v>0</v>
      </c>
      <c r="AM45" s="147">
        <f t="shared" si="1"/>
        <v>0</v>
      </c>
      <c r="AN45" s="147">
        <f>TRUNC($AT$2*J45)</f>
        <v>0</v>
      </c>
      <c r="AO45" s="147">
        <f t="shared" si="2"/>
        <v>0</v>
      </c>
      <c r="AP45" s="147">
        <f>TRUNC($AT$2*L45)</f>
        <v>0</v>
      </c>
      <c r="AQ45" s="148">
        <f t="shared" si="3"/>
        <v>0</v>
      </c>
      <c r="AR45" s="149"/>
    </row>
    <row r="46" spans="2:45" ht="12.6" customHeight="1">
      <c r="B46" s="412"/>
      <c r="C46" s="410"/>
      <c r="D46" s="143"/>
      <c r="E46" s="416"/>
      <c r="F46" s="26"/>
      <c r="G46" s="26"/>
      <c r="H46" s="26"/>
      <c r="I46" s="26"/>
      <c r="J46" s="26"/>
      <c r="K46" s="26"/>
      <c r="L46" s="26"/>
      <c r="M46" s="25"/>
      <c r="N46" s="24"/>
      <c r="AE46" s="145" t="s">
        <v>117</v>
      </c>
      <c r="AF46" s="408"/>
      <c r="AG46" s="426"/>
      <c r="AH46" s="150">
        <f>산출!E46</f>
        <v>0</v>
      </c>
      <c r="AI46" s="427"/>
      <c r="AJ46" s="151">
        <f t="shared" si="4"/>
        <v>0</v>
      </c>
      <c r="AK46" s="151">
        <f t="shared" si="4"/>
        <v>0</v>
      </c>
      <c r="AL46" s="151">
        <f>AL45</f>
        <v>0</v>
      </c>
      <c r="AM46" s="151">
        <f t="shared" si="1"/>
        <v>0</v>
      </c>
      <c r="AN46" s="151">
        <f>AN45</f>
        <v>0</v>
      </c>
      <c r="AO46" s="151">
        <f t="shared" si="2"/>
        <v>0</v>
      </c>
      <c r="AP46" s="151">
        <f>AP45</f>
        <v>0</v>
      </c>
      <c r="AQ46" s="152">
        <f t="shared" si="3"/>
        <v>0</v>
      </c>
      <c r="AR46" s="153"/>
    </row>
    <row r="47" spans="2:45" ht="12.6" customHeight="1">
      <c r="B47" s="422" t="e">
        <f>내역서!#REF!</f>
        <v>#REF!</v>
      </c>
      <c r="C47" s="409"/>
      <c r="D47" s="143">
        <f>산출!I47</f>
        <v>0</v>
      </c>
      <c r="E47" s="415"/>
      <c r="F47" s="26"/>
      <c r="G47" s="26"/>
      <c r="H47" s="26"/>
      <c r="I47" s="26"/>
      <c r="J47" s="26"/>
      <c r="K47" s="26"/>
      <c r="L47" s="26"/>
      <c r="M47" s="25"/>
      <c r="N47" s="24"/>
      <c r="AE47" s="145" t="s">
        <v>116</v>
      </c>
      <c r="AF47" s="407" t="e">
        <f>B47</f>
        <v>#REF!</v>
      </c>
      <c r="AG47" s="425">
        <f>C47</f>
        <v>0</v>
      </c>
      <c r="AH47" s="146">
        <f>산출!I47</f>
        <v>0</v>
      </c>
      <c r="AI47" s="411"/>
      <c r="AJ47" s="147">
        <f t="shared" si="4"/>
        <v>0</v>
      </c>
      <c r="AK47" s="147">
        <f t="shared" si="4"/>
        <v>0</v>
      </c>
      <c r="AL47" s="147">
        <f>TRUNC($AT$2*H47)</f>
        <v>0</v>
      </c>
      <c r="AM47" s="147">
        <f t="shared" si="1"/>
        <v>0</v>
      </c>
      <c r="AN47" s="147">
        <f>TRUNC($AT$2*J47)</f>
        <v>0</v>
      </c>
      <c r="AO47" s="147">
        <f t="shared" si="2"/>
        <v>0</v>
      </c>
      <c r="AP47" s="147">
        <f>TRUNC($AT$2*L47)</f>
        <v>0</v>
      </c>
      <c r="AQ47" s="148">
        <f t="shared" si="3"/>
        <v>0</v>
      </c>
      <c r="AR47" s="149"/>
    </row>
    <row r="48" spans="2:45" ht="12.6" customHeight="1">
      <c r="B48" s="412"/>
      <c r="C48" s="410"/>
      <c r="D48" s="143"/>
      <c r="E48" s="416"/>
      <c r="F48" s="26"/>
      <c r="G48" s="26"/>
      <c r="H48" s="26"/>
      <c r="I48" s="26"/>
      <c r="J48" s="26"/>
      <c r="K48" s="26"/>
      <c r="L48" s="26"/>
      <c r="M48" s="25"/>
      <c r="N48" s="24"/>
      <c r="AE48" s="145" t="s">
        <v>117</v>
      </c>
      <c r="AF48" s="408"/>
      <c r="AG48" s="426"/>
      <c r="AH48" s="150">
        <f>산출!E47</f>
        <v>0</v>
      </c>
      <c r="AI48" s="427"/>
      <c r="AJ48" s="151">
        <f t="shared" si="4"/>
        <v>0</v>
      </c>
      <c r="AK48" s="151">
        <f t="shared" si="4"/>
        <v>0</v>
      </c>
      <c r="AL48" s="151">
        <f>AL47</f>
        <v>0</v>
      </c>
      <c r="AM48" s="151">
        <f t="shared" si="1"/>
        <v>0</v>
      </c>
      <c r="AN48" s="151">
        <f>AN47</f>
        <v>0</v>
      </c>
      <c r="AO48" s="151">
        <f t="shared" si="2"/>
        <v>0</v>
      </c>
      <c r="AP48" s="151">
        <f>AP47</f>
        <v>0</v>
      </c>
      <c r="AQ48" s="152">
        <f t="shared" si="3"/>
        <v>0</v>
      </c>
      <c r="AR48" s="153"/>
    </row>
    <row r="49" spans="2:44" ht="12.6" customHeight="1">
      <c r="B49" s="422" t="e">
        <f>내역서!#REF!</f>
        <v>#REF!</v>
      </c>
      <c r="C49" s="409"/>
      <c r="D49" s="143">
        <f>산출!I48</f>
        <v>0</v>
      </c>
      <c r="E49" s="415"/>
      <c r="F49" s="26"/>
      <c r="G49" s="26"/>
      <c r="H49" s="26"/>
      <c r="I49" s="26"/>
      <c r="J49" s="26"/>
      <c r="K49" s="26"/>
      <c r="L49" s="26"/>
      <c r="M49" s="25"/>
      <c r="N49" s="24"/>
      <c r="AE49" s="145" t="s">
        <v>116</v>
      </c>
      <c r="AF49" s="413" t="e">
        <f>B49</f>
        <v>#REF!</v>
      </c>
      <c r="AG49" s="409">
        <f>C49</f>
        <v>0</v>
      </c>
      <c r="AH49" s="146">
        <f>산출!I48</f>
        <v>0</v>
      </c>
      <c r="AI49" s="411"/>
      <c r="AJ49" s="147">
        <f t="shared" si="4"/>
        <v>0</v>
      </c>
      <c r="AK49" s="147">
        <f t="shared" si="4"/>
        <v>0</v>
      </c>
      <c r="AL49" s="147">
        <f>TRUNC($AT$2*H49)</f>
        <v>0</v>
      </c>
      <c r="AM49" s="147">
        <f t="shared" si="1"/>
        <v>0</v>
      </c>
      <c r="AN49" s="147">
        <f>TRUNC($AT$2*J49)</f>
        <v>0</v>
      </c>
      <c r="AO49" s="147">
        <f t="shared" si="2"/>
        <v>0</v>
      </c>
      <c r="AP49" s="147">
        <f>TRUNC($AT$2*L49)</f>
        <v>0</v>
      </c>
      <c r="AQ49" s="148">
        <f t="shared" si="3"/>
        <v>0</v>
      </c>
      <c r="AR49" s="149"/>
    </row>
    <row r="50" spans="2:44" ht="12.6" customHeight="1">
      <c r="B50" s="412"/>
      <c r="C50" s="410"/>
      <c r="D50" s="143"/>
      <c r="E50" s="416"/>
      <c r="F50" s="26"/>
      <c r="G50" s="26"/>
      <c r="H50" s="26"/>
      <c r="I50" s="26"/>
      <c r="J50" s="26"/>
      <c r="K50" s="26"/>
      <c r="L50" s="26"/>
      <c r="M50" s="25"/>
      <c r="N50" s="24"/>
      <c r="AE50" s="145" t="s">
        <v>117</v>
      </c>
      <c r="AF50" s="414"/>
      <c r="AG50" s="410"/>
      <c r="AH50" s="150">
        <f>산출!E48</f>
        <v>0</v>
      </c>
      <c r="AI50" s="427"/>
      <c r="AJ50" s="151">
        <f t="shared" si="4"/>
        <v>0</v>
      </c>
      <c r="AK50" s="151">
        <f t="shared" si="4"/>
        <v>0</v>
      </c>
      <c r="AL50" s="151">
        <f>AL49</f>
        <v>0</v>
      </c>
      <c r="AM50" s="151">
        <f t="shared" si="1"/>
        <v>0</v>
      </c>
      <c r="AN50" s="151">
        <f>AN49</f>
        <v>0</v>
      </c>
      <c r="AO50" s="151">
        <f t="shared" si="2"/>
        <v>0</v>
      </c>
      <c r="AP50" s="151">
        <f>AP49</f>
        <v>0</v>
      </c>
      <c r="AQ50" s="152">
        <f t="shared" si="3"/>
        <v>0</v>
      </c>
      <c r="AR50" s="153"/>
    </row>
    <row r="51" spans="2:44" ht="12.6" customHeight="1">
      <c r="B51" s="422"/>
      <c r="C51" s="409"/>
      <c r="D51" s="27"/>
      <c r="E51" s="23"/>
      <c r="F51" s="26"/>
      <c r="G51" s="26"/>
      <c r="H51" s="26"/>
      <c r="I51" s="26"/>
      <c r="J51" s="26"/>
      <c r="K51" s="26"/>
      <c r="L51" s="26"/>
      <c r="M51" s="26"/>
      <c r="N51" s="24"/>
      <c r="AE51" s="145" t="s">
        <v>116</v>
      </c>
      <c r="AF51" s="170"/>
      <c r="AG51" s="171"/>
      <c r="AH51" s="172"/>
      <c r="AI51" s="423"/>
      <c r="AJ51" s="168"/>
      <c r="AK51" s="168"/>
      <c r="AL51" s="168"/>
      <c r="AM51" s="168"/>
      <c r="AN51" s="168"/>
      <c r="AO51" s="168"/>
      <c r="AP51" s="168"/>
      <c r="AQ51" s="168"/>
      <c r="AR51" s="149"/>
    </row>
    <row r="52" spans="2:44" ht="12.6" customHeight="1">
      <c r="B52" s="412"/>
      <c r="C52" s="410"/>
      <c r="D52" s="27"/>
      <c r="E52" s="23"/>
      <c r="F52" s="26"/>
      <c r="G52" s="26"/>
      <c r="H52" s="26"/>
      <c r="I52" s="26"/>
      <c r="J52" s="26"/>
      <c r="K52" s="26"/>
      <c r="L52" s="26"/>
      <c r="M52" s="25"/>
      <c r="N52" s="24"/>
      <c r="AE52" s="145" t="s">
        <v>117</v>
      </c>
      <c r="AF52" s="173"/>
      <c r="AG52" s="174"/>
      <c r="AH52" s="175"/>
      <c r="AI52" s="424"/>
      <c r="AJ52" s="169"/>
      <c r="AK52" s="169"/>
      <c r="AL52" s="169"/>
      <c r="AM52" s="169"/>
      <c r="AN52" s="169"/>
      <c r="AO52" s="169"/>
      <c r="AP52" s="169"/>
      <c r="AQ52" s="169"/>
      <c r="AR52" s="153"/>
    </row>
    <row r="53" spans="2:44" ht="12.6" customHeight="1">
      <c r="B53" s="422"/>
      <c r="C53" s="409"/>
      <c r="D53" s="176"/>
      <c r="E53" s="23"/>
      <c r="F53" s="26"/>
      <c r="G53" s="26"/>
      <c r="H53" s="26"/>
      <c r="I53" s="26"/>
      <c r="J53" s="26"/>
      <c r="K53" s="26"/>
      <c r="L53" s="26"/>
      <c r="M53" s="25"/>
      <c r="N53" s="24"/>
      <c r="AE53" s="145" t="s">
        <v>116</v>
      </c>
      <c r="AF53" s="170"/>
      <c r="AG53" s="171"/>
      <c r="AH53" s="172"/>
      <c r="AI53" s="423"/>
      <c r="AJ53" s="168"/>
      <c r="AK53" s="168"/>
      <c r="AL53" s="168"/>
      <c r="AM53" s="168"/>
      <c r="AN53" s="168"/>
      <c r="AO53" s="168"/>
      <c r="AP53" s="168"/>
      <c r="AQ53" s="168"/>
      <c r="AR53" s="149"/>
    </row>
    <row r="54" spans="2:44" ht="12.6" customHeight="1">
      <c r="B54" s="412"/>
      <c r="C54" s="410"/>
      <c r="D54" s="176"/>
      <c r="E54" s="23"/>
      <c r="F54" s="26"/>
      <c r="G54" s="26"/>
      <c r="H54" s="26"/>
      <c r="I54" s="26"/>
      <c r="J54" s="26"/>
      <c r="K54" s="26"/>
      <c r="L54" s="26"/>
      <c r="M54" s="25"/>
      <c r="N54" s="24"/>
      <c r="AE54" s="145" t="s">
        <v>117</v>
      </c>
      <c r="AF54" s="173"/>
      <c r="AG54" s="174"/>
      <c r="AH54" s="175"/>
      <c r="AI54" s="424"/>
      <c r="AJ54" s="169"/>
      <c r="AK54" s="169"/>
      <c r="AL54" s="169"/>
      <c r="AM54" s="169"/>
      <c r="AN54" s="169"/>
      <c r="AO54" s="169"/>
      <c r="AP54" s="169"/>
      <c r="AQ54" s="169"/>
      <c r="AR54" s="153"/>
    </row>
    <row r="55" spans="2:44" ht="12.6" customHeight="1">
      <c r="B55" s="422"/>
      <c r="C55" s="409"/>
      <c r="D55" s="27"/>
      <c r="E55" s="23"/>
      <c r="F55" s="26"/>
      <c r="G55" s="26"/>
      <c r="H55" s="26"/>
      <c r="I55" s="26"/>
      <c r="J55" s="26"/>
      <c r="K55" s="26"/>
      <c r="L55" s="26"/>
      <c r="M55" s="26"/>
      <c r="N55" s="24"/>
      <c r="AE55" s="145" t="s">
        <v>116</v>
      </c>
      <c r="AF55" s="170"/>
      <c r="AG55" s="171"/>
      <c r="AH55" s="172"/>
      <c r="AI55" s="423"/>
      <c r="AJ55" s="168"/>
      <c r="AK55" s="168"/>
      <c r="AL55" s="168"/>
      <c r="AM55" s="168"/>
      <c r="AN55" s="168"/>
      <c r="AO55" s="168"/>
      <c r="AP55" s="168"/>
      <c r="AQ55" s="168"/>
      <c r="AR55" s="149"/>
    </row>
    <row r="56" spans="2:44" ht="12.6" customHeight="1">
      <c r="B56" s="412"/>
      <c r="C56" s="410"/>
      <c r="D56" s="27"/>
      <c r="E56" s="23"/>
      <c r="F56" s="26"/>
      <c r="G56" s="26"/>
      <c r="H56" s="26"/>
      <c r="I56" s="26"/>
      <c r="J56" s="26"/>
      <c r="K56" s="26"/>
      <c r="L56" s="26"/>
      <c r="M56" s="25"/>
      <c r="N56" s="24"/>
      <c r="AE56" s="145" t="s">
        <v>117</v>
      </c>
      <c r="AF56" s="173"/>
      <c r="AG56" s="174"/>
      <c r="AH56" s="175"/>
      <c r="AI56" s="424"/>
      <c r="AJ56" s="169"/>
      <c r="AK56" s="169"/>
      <c r="AL56" s="169"/>
      <c r="AM56" s="169"/>
      <c r="AN56" s="169"/>
      <c r="AO56" s="169"/>
      <c r="AP56" s="169"/>
      <c r="AQ56" s="169"/>
      <c r="AR56" s="153"/>
    </row>
    <row r="57" spans="2:44" ht="12.6" customHeight="1">
      <c r="B57" s="422">
        <f>내역서!AF12</f>
        <v>0</v>
      </c>
      <c r="C57" s="1"/>
      <c r="D57" s="27"/>
      <c r="E57" s="23"/>
      <c r="F57" s="26"/>
      <c r="G57" s="26"/>
      <c r="H57" s="26"/>
      <c r="I57" s="26"/>
      <c r="J57" s="26"/>
      <c r="K57" s="26"/>
      <c r="L57" s="26"/>
      <c r="M57" s="25"/>
      <c r="N57" s="24"/>
      <c r="AE57" s="145" t="s">
        <v>116</v>
      </c>
      <c r="AF57" s="170"/>
      <c r="AG57" s="171"/>
      <c r="AH57" s="172"/>
      <c r="AI57" s="423"/>
      <c r="AJ57" s="168"/>
      <c r="AK57" s="168"/>
      <c r="AL57" s="168"/>
      <c r="AM57" s="168"/>
      <c r="AN57" s="168"/>
      <c r="AO57" s="168"/>
      <c r="AP57" s="168"/>
      <c r="AQ57" s="168"/>
      <c r="AR57" s="149"/>
    </row>
    <row r="58" spans="2:44" ht="12.6" customHeight="1">
      <c r="B58" s="412"/>
      <c r="C58" s="1"/>
      <c r="D58" s="27"/>
      <c r="E58" s="23"/>
      <c r="F58" s="26"/>
      <c r="G58" s="26"/>
      <c r="H58" s="26"/>
      <c r="I58" s="26"/>
      <c r="J58" s="26"/>
      <c r="K58" s="26"/>
      <c r="L58" s="26"/>
      <c r="M58" s="25"/>
      <c r="N58" s="24"/>
      <c r="AE58" s="145" t="s">
        <v>117</v>
      </c>
      <c r="AF58" s="173"/>
      <c r="AG58" s="174"/>
      <c r="AH58" s="175"/>
      <c r="AI58" s="424"/>
      <c r="AJ58" s="169"/>
      <c r="AK58" s="169"/>
      <c r="AL58" s="169"/>
      <c r="AM58" s="169"/>
      <c r="AN58" s="169"/>
      <c r="AO58" s="169"/>
      <c r="AP58" s="169"/>
      <c r="AQ58" s="169"/>
      <c r="AR58" s="153"/>
    </row>
    <row r="59" spans="2:44" ht="12.6" customHeight="1">
      <c r="B59" s="422">
        <f>내역서!AF14</f>
        <v>0</v>
      </c>
      <c r="C59" s="1"/>
      <c r="D59" s="27"/>
      <c r="E59" s="23"/>
      <c r="F59" s="26"/>
      <c r="G59" s="26"/>
      <c r="H59" s="26"/>
      <c r="I59" s="26"/>
      <c r="J59" s="26"/>
      <c r="K59" s="26"/>
      <c r="L59" s="26"/>
      <c r="M59" s="25"/>
      <c r="N59" s="24"/>
      <c r="AE59" s="145" t="s">
        <v>116</v>
      </c>
      <c r="AF59" s="170"/>
      <c r="AG59" s="171"/>
      <c r="AH59" s="172"/>
      <c r="AI59" s="423"/>
      <c r="AJ59" s="168"/>
      <c r="AK59" s="168"/>
      <c r="AL59" s="168"/>
      <c r="AM59" s="168"/>
      <c r="AN59" s="168"/>
      <c r="AO59" s="168"/>
      <c r="AP59" s="168"/>
      <c r="AQ59" s="168"/>
      <c r="AR59" s="149"/>
    </row>
    <row r="60" spans="2:44" ht="12.6" customHeight="1">
      <c r="B60" s="412"/>
      <c r="C60" s="1"/>
      <c r="D60" s="27"/>
      <c r="E60" s="23"/>
      <c r="F60" s="26"/>
      <c r="G60" s="26"/>
      <c r="H60" s="26"/>
      <c r="I60" s="26"/>
      <c r="J60" s="26"/>
      <c r="K60" s="26"/>
      <c r="L60" s="26"/>
      <c r="M60" s="25"/>
      <c r="N60" s="24"/>
      <c r="AE60" s="145" t="s">
        <v>117</v>
      </c>
      <c r="AF60" s="173"/>
      <c r="AG60" s="174"/>
      <c r="AH60" s="175"/>
      <c r="AI60" s="424"/>
      <c r="AJ60" s="169"/>
      <c r="AK60" s="169"/>
      <c r="AL60" s="169"/>
      <c r="AM60" s="169"/>
      <c r="AN60" s="169"/>
      <c r="AO60" s="169"/>
      <c r="AP60" s="169"/>
      <c r="AQ60" s="169"/>
      <c r="AR60" s="153"/>
    </row>
    <row r="61" spans="2:44" ht="12.6" customHeight="1">
      <c r="B61" s="422">
        <f>내역서!AF16</f>
        <v>0</v>
      </c>
      <c r="C61" s="1"/>
      <c r="D61" s="27"/>
      <c r="E61" s="23"/>
      <c r="F61" s="26"/>
      <c r="G61" s="26"/>
      <c r="H61" s="26"/>
      <c r="I61" s="26"/>
      <c r="J61" s="26"/>
      <c r="K61" s="26"/>
      <c r="L61" s="26"/>
      <c r="M61" s="25"/>
      <c r="N61" s="24"/>
      <c r="AF61" s="170"/>
      <c r="AG61" s="171"/>
      <c r="AH61" s="172"/>
      <c r="AI61" s="423"/>
      <c r="AJ61" s="168"/>
      <c r="AK61" s="168"/>
      <c r="AL61" s="168"/>
      <c r="AM61" s="168"/>
      <c r="AN61" s="168"/>
      <c r="AO61" s="168"/>
      <c r="AP61" s="168"/>
      <c r="AQ61" s="168"/>
      <c r="AR61" s="149"/>
    </row>
    <row r="62" spans="2:44" ht="12.6" customHeight="1">
      <c r="B62" s="412"/>
      <c r="C62" s="1"/>
      <c r="D62" s="27"/>
      <c r="E62" s="23"/>
      <c r="F62" s="26"/>
      <c r="G62" s="26"/>
      <c r="H62" s="26"/>
      <c r="I62" s="26"/>
      <c r="J62" s="26"/>
      <c r="K62" s="26"/>
      <c r="L62" s="26"/>
      <c r="M62" s="25"/>
      <c r="N62" s="24"/>
      <c r="AF62" s="173"/>
      <c r="AG62" s="174"/>
      <c r="AH62" s="175"/>
      <c r="AI62" s="424"/>
      <c r="AJ62" s="169"/>
      <c r="AK62" s="169"/>
      <c r="AL62" s="169"/>
      <c r="AM62" s="169"/>
      <c r="AN62" s="169"/>
      <c r="AO62" s="169"/>
      <c r="AP62" s="169"/>
      <c r="AQ62" s="169"/>
      <c r="AR62" s="153"/>
    </row>
    <row r="63" spans="2:44" ht="12.6" customHeight="1">
      <c r="B63" s="422">
        <f>내역서!AF18</f>
        <v>0</v>
      </c>
      <c r="C63" s="1"/>
      <c r="D63" s="27"/>
      <c r="E63" s="23"/>
      <c r="F63" s="26"/>
      <c r="G63" s="26"/>
      <c r="H63" s="26"/>
      <c r="I63" s="26"/>
      <c r="J63" s="26"/>
      <c r="K63" s="26"/>
      <c r="L63" s="26"/>
      <c r="M63" s="25"/>
      <c r="N63" s="24"/>
      <c r="AF63" s="170"/>
      <c r="AG63" s="171"/>
      <c r="AH63" s="172"/>
      <c r="AI63" s="423"/>
      <c r="AJ63" s="168"/>
      <c r="AK63" s="168"/>
      <c r="AL63" s="168"/>
      <c r="AM63" s="168"/>
      <c r="AN63" s="168"/>
      <c r="AO63" s="168"/>
      <c r="AP63" s="168"/>
      <c r="AQ63" s="168"/>
      <c r="AR63" s="149"/>
    </row>
    <row r="64" spans="2:44" ht="12.6" customHeight="1">
      <c r="B64" s="412"/>
      <c r="C64" s="1"/>
      <c r="D64" s="27"/>
      <c r="E64" s="23"/>
      <c r="F64" s="26"/>
      <c r="G64" s="26"/>
      <c r="H64" s="26"/>
      <c r="I64" s="26"/>
      <c r="J64" s="26"/>
      <c r="K64" s="26"/>
      <c r="L64" s="26"/>
      <c r="M64" s="25"/>
      <c r="N64" s="24"/>
      <c r="AF64" s="173"/>
      <c r="AG64" s="174"/>
      <c r="AH64" s="175"/>
      <c r="AI64" s="424"/>
      <c r="AJ64" s="169"/>
      <c r="AK64" s="169"/>
      <c r="AL64" s="169"/>
      <c r="AM64" s="169"/>
      <c r="AN64" s="169"/>
      <c r="AO64" s="169"/>
      <c r="AP64" s="169"/>
      <c r="AQ64" s="169"/>
      <c r="AR64" s="153"/>
    </row>
    <row r="65" spans="2:44" ht="12.6" customHeight="1">
      <c r="B65" s="422">
        <f>내역서!AF20</f>
        <v>0</v>
      </c>
      <c r="C65" s="1"/>
      <c r="D65" s="27"/>
      <c r="E65" s="23"/>
      <c r="F65" s="26"/>
      <c r="G65" s="26"/>
      <c r="H65" s="26"/>
      <c r="I65" s="26"/>
      <c r="J65" s="26"/>
      <c r="K65" s="26"/>
      <c r="L65" s="26"/>
      <c r="M65" s="25"/>
      <c r="N65" s="24"/>
      <c r="AF65" s="170"/>
      <c r="AG65" s="171"/>
      <c r="AH65" s="172"/>
      <c r="AI65" s="423"/>
      <c r="AJ65" s="168"/>
      <c r="AK65" s="168"/>
      <c r="AL65" s="168"/>
      <c r="AM65" s="168"/>
      <c r="AN65" s="168"/>
      <c r="AO65" s="168"/>
      <c r="AP65" s="168"/>
      <c r="AQ65" s="168"/>
      <c r="AR65" s="149"/>
    </row>
    <row r="66" spans="2:44" ht="12.6" customHeight="1">
      <c r="B66" s="412"/>
      <c r="C66" s="1"/>
      <c r="D66" s="27"/>
      <c r="E66" s="23"/>
      <c r="F66" s="26"/>
      <c r="G66" s="26"/>
      <c r="H66" s="26"/>
      <c r="I66" s="26"/>
      <c r="J66" s="26"/>
      <c r="K66" s="26"/>
      <c r="L66" s="26"/>
      <c r="M66" s="25"/>
      <c r="N66" s="24"/>
      <c r="AF66" s="173"/>
      <c r="AG66" s="174"/>
      <c r="AH66" s="175"/>
      <c r="AI66" s="424"/>
      <c r="AJ66" s="169"/>
      <c r="AK66" s="169"/>
      <c r="AL66" s="169"/>
      <c r="AM66" s="169"/>
      <c r="AN66" s="169"/>
      <c r="AO66" s="169"/>
      <c r="AP66" s="169"/>
      <c r="AQ66" s="169"/>
      <c r="AR66" s="153"/>
    </row>
    <row r="67" spans="2:44" ht="12.6" customHeight="1">
      <c r="B67" s="422">
        <f>내역서!AF22</f>
        <v>0</v>
      </c>
      <c r="C67" s="1"/>
      <c r="D67" s="27"/>
      <c r="E67" s="23"/>
      <c r="F67" s="26"/>
      <c r="G67" s="26"/>
      <c r="H67" s="26"/>
      <c r="I67" s="26"/>
      <c r="J67" s="26"/>
      <c r="K67" s="26"/>
      <c r="L67" s="26"/>
      <c r="M67" s="25"/>
      <c r="N67" s="24"/>
      <c r="AF67" s="170"/>
      <c r="AG67" s="171"/>
      <c r="AH67" s="172"/>
      <c r="AI67" s="423"/>
      <c r="AJ67" s="168"/>
      <c r="AK67" s="168"/>
      <c r="AL67" s="168"/>
      <c r="AM67" s="168"/>
      <c r="AN67" s="168"/>
      <c r="AO67" s="168"/>
      <c r="AP67" s="168"/>
      <c r="AQ67" s="168"/>
      <c r="AR67" s="149"/>
    </row>
    <row r="68" spans="2:44" ht="12.6" customHeight="1">
      <c r="B68" s="412"/>
      <c r="C68" s="1"/>
      <c r="D68" s="27"/>
      <c r="E68" s="23"/>
      <c r="F68" s="26"/>
      <c r="G68" s="26"/>
      <c r="H68" s="26"/>
      <c r="I68" s="26"/>
      <c r="J68" s="26"/>
      <c r="K68" s="26"/>
      <c r="L68" s="26"/>
      <c r="M68" s="25"/>
      <c r="N68" s="24"/>
      <c r="AF68" s="173"/>
      <c r="AG68" s="174"/>
      <c r="AH68" s="175"/>
      <c r="AI68" s="424"/>
      <c r="AJ68" s="169"/>
      <c r="AK68" s="169"/>
      <c r="AL68" s="169"/>
      <c r="AM68" s="169"/>
      <c r="AN68" s="169"/>
      <c r="AO68" s="169"/>
      <c r="AP68" s="169"/>
      <c r="AQ68" s="169"/>
      <c r="AR68" s="153"/>
    </row>
    <row r="69" spans="2:44" ht="12.6" customHeight="1">
      <c r="B69" s="422">
        <f>내역서!AF24</f>
        <v>0</v>
      </c>
      <c r="C69" s="1"/>
      <c r="D69" s="27"/>
      <c r="E69" s="23"/>
      <c r="F69" s="26"/>
      <c r="G69" s="26"/>
      <c r="H69" s="26"/>
      <c r="I69" s="26"/>
      <c r="J69" s="26"/>
      <c r="K69" s="26"/>
      <c r="L69" s="26"/>
      <c r="M69" s="25"/>
      <c r="N69" s="24"/>
      <c r="AF69" s="170"/>
      <c r="AG69" s="171"/>
      <c r="AH69" s="172"/>
      <c r="AI69" s="423"/>
      <c r="AJ69" s="168"/>
      <c r="AK69" s="168"/>
      <c r="AL69" s="168"/>
      <c r="AM69" s="168"/>
      <c r="AN69" s="168"/>
      <c r="AO69" s="168"/>
      <c r="AP69" s="168"/>
      <c r="AQ69" s="168"/>
      <c r="AR69" s="149"/>
    </row>
    <row r="70" spans="2:44" ht="12.6" customHeight="1">
      <c r="B70" s="412"/>
      <c r="C70" s="1"/>
      <c r="D70" s="27"/>
      <c r="E70" s="23"/>
      <c r="F70" s="26"/>
      <c r="G70" s="26"/>
      <c r="H70" s="26"/>
      <c r="I70" s="26"/>
      <c r="J70" s="26"/>
      <c r="K70" s="26"/>
      <c r="L70" s="26"/>
      <c r="M70" s="25"/>
      <c r="N70" s="24"/>
      <c r="AF70" s="173"/>
      <c r="AG70" s="174"/>
      <c r="AH70" s="175"/>
      <c r="AI70" s="424"/>
      <c r="AJ70" s="169"/>
      <c r="AK70" s="169"/>
      <c r="AL70" s="169"/>
      <c r="AM70" s="169"/>
      <c r="AN70" s="169"/>
      <c r="AO70" s="169"/>
      <c r="AP70" s="169"/>
      <c r="AQ70" s="169"/>
      <c r="AR70" s="153"/>
    </row>
    <row r="71" spans="2:44" ht="12.6" customHeight="1">
      <c r="B71" s="422">
        <f>내역서!AF26</f>
        <v>0</v>
      </c>
      <c r="C71" s="1"/>
      <c r="D71" s="27"/>
      <c r="E71" s="23"/>
      <c r="F71" s="26"/>
      <c r="G71" s="26"/>
      <c r="H71" s="26"/>
      <c r="I71" s="26"/>
      <c r="J71" s="26"/>
      <c r="K71" s="26"/>
      <c r="L71" s="26"/>
      <c r="M71" s="25"/>
      <c r="N71" s="24"/>
      <c r="AF71" s="170"/>
      <c r="AG71" s="171"/>
      <c r="AH71" s="172"/>
      <c r="AI71" s="423"/>
      <c r="AJ71" s="168"/>
      <c r="AK71" s="168"/>
      <c r="AL71" s="168"/>
      <c r="AM71" s="168"/>
      <c r="AN71" s="168"/>
      <c r="AO71" s="168"/>
      <c r="AP71" s="168"/>
      <c r="AQ71" s="168"/>
      <c r="AR71" s="149"/>
    </row>
    <row r="72" spans="2:44" ht="12.6" customHeight="1">
      <c r="B72" s="412"/>
      <c r="C72" s="1"/>
      <c r="D72" s="27"/>
      <c r="E72" s="23"/>
      <c r="F72" s="26"/>
      <c r="G72" s="26"/>
      <c r="H72" s="26"/>
      <c r="I72" s="26"/>
      <c r="J72" s="26"/>
      <c r="K72" s="26"/>
      <c r="L72" s="26"/>
      <c r="M72" s="25"/>
      <c r="N72" s="24"/>
      <c r="AF72" s="173"/>
      <c r="AG72" s="174"/>
      <c r="AH72" s="175"/>
      <c r="AI72" s="424"/>
      <c r="AJ72" s="169"/>
      <c r="AK72" s="169"/>
      <c r="AL72" s="169"/>
      <c r="AM72" s="169"/>
      <c r="AN72" s="169"/>
      <c r="AO72" s="169"/>
      <c r="AP72" s="169"/>
      <c r="AQ72" s="169"/>
      <c r="AR72" s="153"/>
    </row>
    <row r="73" spans="2:44" ht="12.6" customHeight="1">
      <c r="B73" s="422">
        <f>내역서!AF28</f>
        <v>0</v>
      </c>
      <c r="C73" s="1"/>
      <c r="D73" s="27"/>
      <c r="E73" s="23"/>
      <c r="F73" s="26"/>
      <c r="G73" s="26"/>
      <c r="H73" s="26"/>
      <c r="I73" s="26"/>
      <c r="J73" s="26"/>
      <c r="K73" s="26"/>
      <c r="L73" s="26"/>
      <c r="M73" s="25"/>
      <c r="N73" s="24"/>
      <c r="AF73" s="170"/>
      <c r="AG73" s="171"/>
      <c r="AH73" s="172"/>
      <c r="AI73" s="423"/>
      <c r="AJ73" s="168"/>
      <c r="AK73" s="168"/>
      <c r="AL73" s="168"/>
      <c r="AM73" s="168"/>
      <c r="AN73" s="168"/>
      <c r="AO73" s="168"/>
      <c r="AP73" s="168"/>
      <c r="AQ73" s="168"/>
      <c r="AR73" s="149"/>
    </row>
    <row r="74" spans="2:44" ht="12.6" customHeight="1">
      <c r="B74" s="412"/>
      <c r="C74" s="1"/>
      <c r="D74" s="27"/>
      <c r="E74" s="23"/>
      <c r="F74" s="26"/>
      <c r="G74" s="26"/>
      <c r="H74" s="26"/>
      <c r="I74" s="26"/>
      <c r="J74" s="26"/>
      <c r="K74" s="26"/>
      <c r="L74" s="26"/>
      <c r="M74" s="25"/>
      <c r="N74" s="24"/>
      <c r="AF74" s="173"/>
      <c r="AG74" s="174"/>
      <c r="AH74" s="175"/>
      <c r="AI74" s="424"/>
      <c r="AJ74" s="169"/>
      <c r="AK74" s="169"/>
      <c r="AL74" s="169"/>
      <c r="AM74" s="169"/>
      <c r="AN74" s="169"/>
      <c r="AO74" s="169"/>
      <c r="AP74" s="169"/>
      <c r="AQ74" s="169"/>
      <c r="AR74" s="153"/>
    </row>
    <row r="75" spans="2:44" ht="12.6" customHeight="1">
      <c r="B75" s="422">
        <f>내역서!AF30</f>
        <v>0</v>
      </c>
      <c r="C75" s="1"/>
      <c r="D75" s="27"/>
      <c r="E75" s="23"/>
      <c r="F75" s="26"/>
      <c r="G75" s="26"/>
      <c r="H75" s="26"/>
      <c r="I75" s="26"/>
      <c r="J75" s="26"/>
      <c r="K75" s="26"/>
      <c r="L75" s="26"/>
      <c r="M75" s="25"/>
      <c r="N75" s="24"/>
      <c r="AF75" s="170"/>
      <c r="AG75" s="171"/>
      <c r="AH75" s="172"/>
      <c r="AI75" s="423"/>
      <c r="AJ75" s="168"/>
      <c r="AK75" s="168"/>
      <c r="AL75" s="168"/>
      <c r="AM75" s="168"/>
      <c r="AN75" s="168"/>
      <c r="AO75" s="168"/>
      <c r="AP75" s="168"/>
      <c r="AQ75" s="168"/>
      <c r="AR75" s="149"/>
    </row>
    <row r="76" spans="2:44" ht="12.6" customHeight="1">
      <c r="B76" s="412"/>
      <c r="C76" s="1"/>
      <c r="D76" s="27"/>
      <c r="E76" s="23"/>
      <c r="F76" s="26"/>
      <c r="G76" s="26"/>
      <c r="H76" s="26"/>
      <c r="I76" s="26"/>
      <c r="J76" s="26"/>
      <c r="K76" s="26"/>
      <c r="L76" s="26"/>
      <c r="M76" s="25"/>
      <c r="N76" s="24"/>
      <c r="AF76" s="173"/>
      <c r="AG76" s="174"/>
      <c r="AH76" s="175"/>
      <c r="AI76" s="424"/>
      <c r="AJ76" s="169"/>
      <c r="AK76" s="169"/>
      <c r="AL76" s="169"/>
      <c r="AM76" s="169"/>
      <c r="AN76" s="169"/>
      <c r="AO76" s="169"/>
      <c r="AP76" s="169"/>
      <c r="AQ76" s="169"/>
      <c r="AR76" s="153"/>
    </row>
    <row r="77" spans="2:44" ht="12.6" customHeight="1">
      <c r="B77" s="11"/>
      <c r="C77" s="10"/>
      <c r="D77" s="21"/>
      <c r="E77" s="11"/>
      <c r="F77" s="10"/>
      <c r="G77" s="10"/>
      <c r="H77" s="10"/>
      <c r="I77" s="10"/>
      <c r="J77" s="10"/>
      <c r="K77" s="10"/>
      <c r="L77" s="10"/>
      <c r="M77" s="10"/>
      <c r="AF77" s="170"/>
      <c r="AG77" s="171"/>
      <c r="AH77" s="172"/>
      <c r="AI77" s="423"/>
      <c r="AJ77" s="168"/>
      <c r="AK77" s="168"/>
      <c r="AL77" s="168"/>
      <c r="AM77" s="168"/>
      <c r="AN77" s="168"/>
      <c r="AO77" s="168"/>
      <c r="AP77" s="168"/>
      <c r="AQ77" s="168"/>
      <c r="AR77" s="149"/>
    </row>
    <row r="78" spans="2:44" ht="12.6" customHeight="1">
      <c r="AF78" s="173"/>
      <c r="AG78" s="174"/>
      <c r="AH78" s="175"/>
      <c r="AI78" s="424"/>
      <c r="AJ78" s="169"/>
      <c r="AK78" s="169"/>
      <c r="AL78" s="169"/>
      <c r="AM78" s="169"/>
      <c r="AN78" s="169"/>
      <c r="AO78" s="169"/>
      <c r="AP78" s="169"/>
      <c r="AQ78" s="169"/>
      <c r="AR78" s="153"/>
    </row>
    <row r="79" spans="2:44" ht="12.6" customHeight="1">
      <c r="AF79" s="170"/>
      <c r="AG79" s="171"/>
      <c r="AH79" s="172"/>
      <c r="AI79" s="423"/>
      <c r="AJ79" s="168"/>
      <c r="AK79" s="168"/>
      <c r="AL79" s="168"/>
      <c r="AM79" s="168"/>
      <c r="AN79" s="168"/>
      <c r="AO79" s="168"/>
      <c r="AP79" s="168"/>
      <c r="AQ79" s="168"/>
      <c r="AR79" s="149"/>
    </row>
    <row r="80" spans="2:44" ht="12.6" customHeight="1">
      <c r="AF80" s="173"/>
      <c r="AG80" s="174"/>
      <c r="AH80" s="175"/>
      <c r="AI80" s="424"/>
      <c r="AJ80" s="169"/>
      <c r="AK80" s="169"/>
      <c r="AL80" s="169"/>
      <c r="AM80" s="169"/>
      <c r="AN80" s="169"/>
      <c r="AO80" s="169"/>
      <c r="AP80" s="169"/>
      <c r="AQ80" s="169"/>
      <c r="AR80" s="153"/>
    </row>
    <row r="81" spans="32:44" ht="12.6" customHeight="1">
      <c r="AF81" s="170"/>
      <c r="AG81" s="171"/>
      <c r="AH81" s="172"/>
      <c r="AI81" s="423"/>
      <c r="AJ81" s="168"/>
      <c r="AK81" s="168"/>
      <c r="AL81" s="168"/>
      <c r="AM81" s="168"/>
      <c r="AN81" s="168"/>
      <c r="AO81" s="168"/>
      <c r="AP81" s="168"/>
      <c r="AQ81" s="168"/>
      <c r="AR81" s="149"/>
    </row>
    <row r="82" spans="32:44" ht="12.6" customHeight="1">
      <c r="AF82" s="173"/>
      <c r="AG82" s="174"/>
      <c r="AH82" s="175"/>
      <c r="AI82" s="424"/>
      <c r="AJ82" s="169"/>
      <c r="AK82" s="169"/>
      <c r="AL82" s="169"/>
      <c r="AM82" s="169"/>
      <c r="AN82" s="169"/>
      <c r="AO82" s="169"/>
      <c r="AP82" s="169"/>
      <c r="AQ82" s="169"/>
      <c r="AR82" s="153"/>
    </row>
    <row r="83" spans="32:44" ht="12.6" customHeight="1">
      <c r="AF83" s="170"/>
      <c r="AG83" s="171"/>
      <c r="AH83" s="172"/>
      <c r="AI83" s="423"/>
      <c r="AJ83" s="168"/>
      <c r="AK83" s="168"/>
      <c r="AL83" s="168"/>
      <c r="AM83" s="168"/>
      <c r="AN83" s="168"/>
      <c r="AO83" s="168"/>
      <c r="AP83" s="168"/>
      <c r="AQ83" s="168"/>
      <c r="AR83" s="149"/>
    </row>
    <row r="84" spans="32:44" ht="12.6" customHeight="1">
      <c r="AF84" s="173"/>
      <c r="AG84" s="174"/>
      <c r="AH84" s="175"/>
      <c r="AI84" s="424"/>
      <c r="AJ84" s="169"/>
      <c r="AK84" s="169"/>
      <c r="AL84" s="169"/>
      <c r="AM84" s="169"/>
      <c r="AN84" s="169"/>
      <c r="AO84" s="169"/>
      <c r="AP84" s="169"/>
      <c r="AQ84" s="169"/>
      <c r="AR84" s="153"/>
    </row>
    <row r="85" spans="32:44" ht="12.6" customHeight="1">
      <c r="AF85" s="170"/>
      <c r="AG85" s="171"/>
      <c r="AH85" s="172"/>
      <c r="AI85" s="423"/>
      <c r="AJ85" s="168"/>
      <c r="AK85" s="168"/>
      <c r="AL85" s="168"/>
      <c r="AM85" s="168"/>
      <c r="AN85" s="168"/>
      <c r="AO85" s="168"/>
      <c r="AP85" s="168"/>
      <c r="AQ85" s="168"/>
      <c r="AR85" s="149"/>
    </row>
    <row r="86" spans="32:44" ht="12.6" customHeight="1">
      <c r="AF86" s="173"/>
      <c r="AG86" s="174"/>
      <c r="AH86" s="175"/>
      <c r="AI86" s="424"/>
      <c r="AJ86" s="169"/>
      <c r="AK86" s="169"/>
      <c r="AL86" s="169"/>
      <c r="AM86" s="169"/>
      <c r="AN86" s="169"/>
      <c r="AO86" s="169"/>
      <c r="AP86" s="169"/>
      <c r="AQ86" s="169"/>
      <c r="AR86" s="153"/>
    </row>
    <row r="87" spans="32:44" ht="12.6" customHeight="1">
      <c r="AF87" s="170"/>
      <c r="AG87" s="171"/>
      <c r="AH87" s="172"/>
      <c r="AI87" s="423"/>
      <c r="AJ87" s="168"/>
      <c r="AK87" s="168"/>
      <c r="AL87" s="168"/>
      <c r="AM87" s="168"/>
      <c r="AN87" s="168"/>
      <c r="AO87" s="168"/>
      <c r="AP87" s="168"/>
      <c r="AQ87" s="168"/>
      <c r="AR87" s="149"/>
    </row>
    <row r="88" spans="32:44" ht="12.6" customHeight="1">
      <c r="AF88" s="173"/>
      <c r="AG88" s="174"/>
      <c r="AH88" s="175"/>
      <c r="AI88" s="424"/>
      <c r="AJ88" s="169"/>
      <c r="AK88" s="169"/>
      <c r="AL88" s="169"/>
      <c r="AM88" s="169"/>
      <c r="AN88" s="169"/>
      <c r="AO88" s="169"/>
      <c r="AP88" s="169"/>
      <c r="AQ88" s="169"/>
      <c r="AR88" s="153"/>
    </row>
    <row r="89" spans="32:44" ht="12.6" customHeight="1">
      <c r="AF89" s="170"/>
      <c r="AG89" s="171"/>
      <c r="AH89" s="172"/>
      <c r="AI89" s="423"/>
      <c r="AJ89" s="168"/>
      <c r="AK89" s="168"/>
      <c r="AL89" s="168"/>
      <c r="AM89" s="168"/>
      <c r="AN89" s="168"/>
      <c r="AO89" s="168"/>
      <c r="AP89" s="168"/>
      <c r="AQ89" s="168"/>
      <c r="AR89" s="149"/>
    </row>
    <row r="90" spans="32:44" ht="12.6" customHeight="1">
      <c r="AF90" s="173"/>
      <c r="AG90" s="174"/>
      <c r="AH90" s="175"/>
      <c r="AI90" s="424"/>
      <c r="AJ90" s="169"/>
      <c r="AK90" s="169"/>
      <c r="AL90" s="169"/>
      <c r="AM90" s="169"/>
      <c r="AN90" s="169"/>
      <c r="AO90" s="169"/>
      <c r="AP90" s="169"/>
      <c r="AQ90" s="169"/>
      <c r="AR90" s="153"/>
    </row>
    <row r="91" spans="32:44" ht="12.6" customHeight="1"/>
    <row r="92" spans="32:44" ht="12.6" customHeight="1"/>
    <row r="93" spans="32:44" ht="12.6" customHeight="1"/>
    <row r="94" spans="32:44" ht="12.6" customHeight="1"/>
    <row r="95" spans="32:44" ht="12.6" customHeight="1"/>
    <row r="96" spans="32:44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</sheetData>
  <sheetProtection formatCells="0" formatColumns="0" formatRows="0" insertColumns="0" insertRows="0" insertHyperlinks="0" deleteColumns="0" deleteRows="0" sort="0" autoFilter="0" pivotTables="0"/>
  <autoFilter ref="AF3:AR60">
    <filterColumn colId="4" showButton="0"/>
    <filterColumn colId="6" showButton="0"/>
    <filterColumn colId="8" showButton="0"/>
    <filterColumn colId="10" showButton="0"/>
  </autoFilter>
  <mergeCells count="200">
    <mergeCell ref="AI85:AI86"/>
    <mergeCell ref="AI87:AI88"/>
    <mergeCell ref="AI89:AI90"/>
    <mergeCell ref="E35:E36"/>
    <mergeCell ref="E37:E38"/>
    <mergeCell ref="E39:E40"/>
    <mergeCell ref="E41:E42"/>
    <mergeCell ref="E43:E44"/>
    <mergeCell ref="E45:E46"/>
    <mergeCell ref="AI77:AI78"/>
    <mergeCell ref="AI79:AI80"/>
    <mergeCell ref="AI81:AI82"/>
    <mergeCell ref="AI83:AI84"/>
    <mergeCell ref="AI73:AI74"/>
    <mergeCell ref="AI75:AI76"/>
    <mergeCell ref="AI43:AI44"/>
    <mergeCell ref="AF45:AF46"/>
    <mergeCell ref="AG45:AG46"/>
    <mergeCell ref="AI45:AI46"/>
    <mergeCell ref="AF35:AF36"/>
    <mergeCell ref="AG35:AG36"/>
    <mergeCell ref="AI35:AI36"/>
    <mergeCell ref="AF37:AF38"/>
    <mergeCell ref="AG37:AG38"/>
    <mergeCell ref="E23:E24"/>
    <mergeCell ref="E25:E26"/>
    <mergeCell ref="E27:E28"/>
    <mergeCell ref="E29:E30"/>
    <mergeCell ref="E31:E32"/>
    <mergeCell ref="E33:E34"/>
    <mergeCell ref="E47:E48"/>
    <mergeCell ref="E49:E50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B63:B64"/>
    <mergeCell ref="B65:B66"/>
    <mergeCell ref="B67:B68"/>
    <mergeCell ref="B69:B70"/>
    <mergeCell ref="B71:B72"/>
    <mergeCell ref="B73:B74"/>
    <mergeCell ref="B75:B76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AI59:AI60"/>
    <mergeCell ref="AI61:AI62"/>
    <mergeCell ref="AI63:AI64"/>
    <mergeCell ref="AI65:AI66"/>
    <mergeCell ref="AI67:AI68"/>
    <mergeCell ref="AI69:AI70"/>
    <mergeCell ref="AI71:AI72"/>
    <mergeCell ref="AI51:AI52"/>
    <mergeCell ref="AI53:AI54"/>
    <mergeCell ref="AI55:AI56"/>
    <mergeCell ref="AI57:AI58"/>
    <mergeCell ref="AF47:AF48"/>
    <mergeCell ref="AG47:AG48"/>
    <mergeCell ref="AI47:AI48"/>
    <mergeCell ref="AF49:AF50"/>
    <mergeCell ref="AG49:AG50"/>
    <mergeCell ref="AI49:AI50"/>
    <mergeCell ref="AF41:AF42"/>
    <mergeCell ref="AG41:AG42"/>
    <mergeCell ref="AI41:AI42"/>
    <mergeCell ref="AF43:AF44"/>
    <mergeCell ref="AG43:AG44"/>
    <mergeCell ref="AI37:AI38"/>
    <mergeCell ref="AF39:AF40"/>
    <mergeCell ref="AG39:AG40"/>
    <mergeCell ref="AI39:AI40"/>
    <mergeCell ref="AF29:AF30"/>
    <mergeCell ref="AG29:AG30"/>
    <mergeCell ref="AI29:AI30"/>
    <mergeCell ref="AF31:AF32"/>
    <mergeCell ref="AG31:AG32"/>
    <mergeCell ref="AI31:AI32"/>
    <mergeCell ref="AF33:AF34"/>
    <mergeCell ref="AG33:AG34"/>
    <mergeCell ref="AI33:AI34"/>
    <mergeCell ref="AF23:AF24"/>
    <mergeCell ref="AG23:AG24"/>
    <mergeCell ref="AI23:AI24"/>
    <mergeCell ref="AF25:AF26"/>
    <mergeCell ref="AG25:AG26"/>
    <mergeCell ref="AI25:AI26"/>
    <mergeCell ref="AF27:AF28"/>
    <mergeCell ref="AG27:AG28"/>
    <mergeCell ref="AI27:AI28"/>
    <mergeCell ref="AF17:AF18"/>
    <mergeCell ref="AG17:AG18"/>
    <mergeCell ref="AI17:AI18"/>
    <mergeCell ref="AF19:AF20"/>
    <mergeCell ref="AG19:AG20"/>
    <mergeCell ref="AI19:AI20"/>
    <mergeCell ref="AF21:AF22"/>
    <mergeCell ref="AG21:AG22"/>
    <mergeCell ref="AI21:AI22"/>
    <mergeCell ref="AF11:AF12"/>
    <mergeCell ref="AG11:AG12"/>
    <mergeCell ref="AI11:AI12"/>
    <mergeCell ref="AF13:AF14"/>
    <mergeCell ref="AG13:AG14"/>
    <mergeCell ref="AI13:AI14"/>
    <mergeCell ref="AF15:AF16"/>
    <mergeCell ref="AG15:AG16"/>
    <mergeCell ref="AI15:AI16"/>
    <mergeCell ref="AP3:AQ3"/>
    <mergeCell ref="AR3:AR4"/>
    <mergeCell ref="AF5:AF6"/>
    <mergeCell ref="AG5:AG6"/>
    <mergeCell ref="AI5:AI6"/>
    <mergeCell ref="AF7:AF8"/>
    <mergeCell ref="AG7:AG8"/>
    <mergeCell ref="AI7:AI8"/>
    <mergeCell ref="AF9:AF10"/>
    <mergeCell ref="AG9:AG10"/>
    <mergeCell ref="AI9:AI10"/>
    <mergeCell ref="B1:N2"/>
    <mergeCell ref="Q1:AC2"/>
    <mergeCell ref="AF1:AR2"/>
    <mergeCell ref="B3:B4"/>
    <mergeCell ref="C3:C4"/>
    <mergeCell ref="D3:D4"/>
    <mergeCell ref="E3:E4"/>
    <mergeCell ref="N3:N4"/>
    <mergeCell ref="Q3:Q4"/>
    <mergeCell ref="R3:R4"/>
    <mergeCell ref="S3:S4"/>
    <mergeCell ref="T3:T4"/>
    <mergeCell ref="U3:V3"/>
    <mergeCell ref="W3:X3"/>
    <mergeCell ref="Y3:Z3"/>
    <mergeCell ref="AA3:AB3"/>
    <mergeCell ref="AC3:AC4"/>
    <mergeCell ref="AF3:AF4"/>
    <mergeCell ref="AG3:AG4"/>
    <mergeCell ref="AH3:AH4"/>
    <mergeCell ref="AI3:AI4"/>
    <mergeCell ref="AJ3:AK3"/>
    <mergeCell ref="AL3:AM3"/>
    <mergeCell ref="AN3:AO3"/>
  </mergeCells>
  <phoneticPr fontId="2" type="noConversion"/>
  <printOptions horizontalCentered="1" verticalCentered="1"/>
  <pageMargins left="0.78740157480314965" right="0.39370078740157483" top="0.78740157480314965" bottom="0.39370078740157483" header="0" footer="0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13</vt:i4>
      </vt:variant>
    </vt:vector>
  </HeadingPairs>
  <TitlesOfParts>
    <vt:vector size="25" baseType="lpstr">
      <vt:lpstr>단가대비표</vt:lpstr>
      <vt:lpstr>산출</vt:lpstr>
      <vt:lpstr>시간단노임</vt:lpstr>
      <vt:lpstr>기계경비</vt:lpstr>
      <vt:lpstr>내역서</vt:lpstr>
      <vt:lpstr>원가계산서</vt:lpstr>
      <vt:lpstr>갑지</vt:lpstr>
      <vt:lpstr>표지</vt:lpstr>
      <vt:lpstr>변경내역서</vt:lpstr>
      <vt:lpstr>변경원가계산</vt:lpstr>
      <vt:lpstr>변경갑지</vt:lpstr>
      <vt:lpstr>변경표지</vt:lpstr>
      <vt:lpstr>갑지!Print_Area</vt:lpstr>
      <vt:lpstr>기계경비!Print_Area</vt:lpstr>
      <vt:lpstr>내역서!Print_Area</vt:lpstr>
      <vt:lpstr>단가대비표!Print_Area</vt:lpstr>
      <vt:lpstr>변경갑지!Print_Area</vt:lpstr>
      <vt:lpstr>변경내역서!Print_Area</vt:lpstr>
      <vt:lpstr>변경표지!Print_Area</vt:lpstr>
      <vt:lpstr>산출!Print_Area</vt:lpstr>
      <vt:lpstr>시간단노임!Print_Area</vt:lpstr>
      <vt:lpstr>원가계산서!Print_Area</vt:lpstr>
      <vt:lpstr>표지!Print_Area</vt:lpstr>
      <vt:lpstr>내역서!Print_Titles</vt:lpstr>
      <vt:lpstr>산출!Print_Titles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MAIN-A</dc:creator>
  <cp:lastModifiedBy>회계팀장</cp:lastModifiedBy>
  <cp:lastPrinted>2018-09-14T01:09:28Z</cp:lastPrinted>
  <dcterms:created xsi:type="dcterms:W3CDTF">2005-10-12T08:32:53Z</dcterms:created>
  <dcterms:modified xsi:type="dcterms:W3CDTF">2018-09-27T01:15:15Z</dcterms:modified>
</cp:coreProperties>
</file>